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 tabRatio="857" activeTab="12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CP34" i="14" l="1"/>
  <c r="BO18" i="12"/>
  <c r="BN18" i="12"/>
  <c r="BO17" i="12"/>
  <c r="BN17" i="12"/>
  <c r="BO16" i="12"/>
  <c r="BN16" i="12"/>
  <c r="BO14" i="12"/>
  <c r="BN14" i="12"/>
  <c r="BO13" i="12"/>
  <c r="BN13" i="12"/>
  <c r="BO12" i="12"/>
  <c r="BN12" i="12"/>
  <c r="BO11" i="12"/>
  <c r="BN11" i="12"/>
  <c r="BO10" i="12"/>
  <c r="BN10" i="12"/>
  <c r="BO9" i="12"/>
  <c r="BN9" i="12"/>
  <c r="BO8" i="12"/>
  <c r="BN8" i="12"/>
  <c r="BO7" i="12"/>
  <c r="BN7" i="12"/>
  <c r="BO6" i="12"/>
  <c r="BN6" i="12"/>
  <c r="BO5" i="12"/>
  <c r="BN5" i="12"/>
  <c r="BO9" i="11"/>
  <c r="BN9" i="11"/>
  <c r="BO8" i="11"/>
  <c r="BN8" i="11"/>
  <c r="BO7" i="11"/>
  <c r="BN7" i="11"/>
  <c r="BO6" i="11"/>
  <c r="BN6" i="11"/>
  <c r="BO15" i="11"/>
  <c r="BN15" i="11"/>
  <c r="BO14" i="11"/>
  <c r="BN14" i="11"/>
  <c r="BO23" i="11"/>
  <c r="BN23" i="11"/>
  <c r="BO33" i="11"/>
  <c r="BN33" i="11"/>
  <c r="BO32" i="11"/>
  <c r="BN32" i="11"/>
  <c r="BO31" i="11"/>
  <c r="BN31" i="11"/>
  <c r="BO30" i="11"/>
  <c r="BN30" i="11"/>
  <c r="BO41" i="11"/>
  <c r="BN41" i="11"/>
  <c r="BO40" i="11"/>
  <c r="BN40" i="11"/>
  <c r="BO39" i="11"/>
  <c r="BN39" i="11"/>
  <c r="BO38" i="11"/>
  <c r="BN38" i="11"/>
  <c r="BO49" i="11"/>
  <c r="BN49" i="11"/>
  <c r="BO48" i="11"/>
  <c r="BN48" i="11"/>
  <c r="BO47" i="11"/>
  <c r="BN47" i="11"/>
  <c r="BO46" i="11"/>
  <c r="BN46" i="11"/>
  <c r="BO57" i="11"/>
  <c r="BN57" i="11"/>
  <c r="BO56" i="11"/>
  <c r="BN56" i="11"/>
  <c r="BO55" i="11"/>
  <c r="BN55" i="11"/>
  <c r="BO54" i="11"/>
  <c r="BN54" i="11"/>
  <c r="BO65" i="11"/>
  <c r="BN65" i="11"/>
  <c r="BO64" i="11"/>
  <c r="BN64" i="11"/>
  <c r="BO63" i="11"/>
  <c r="BN63" i="11"/>
  <c r="BO62" i="11"/>
  <c r="BN62" i="11"/>
  <c r="BO81" i="11"/>
  <c r="BN81" i="11"/>
  <c r="BO80" i="11"/>
  <c r="BN80" i="11"/>
  <c r="BO79" i="11"/>
  <c r="BN79" i="11"/>
  <c r="BO78" i="11"/>
  <c r="BN78" i="11"/>
  <c r="BO12" i="10"/>
  <c r="BN12" i="10"/>
  <c r="BO10" i="10"/>
  <c r="BN10" i="10"/>
  <c r="BO9" i="10"/>
  <c r="BN9" i="10"/>
  <c r="BO8" i="10"/>
  <c r="BN8" i="10"/>
  <c r="BO7" i="10"/>
  <c r="BN7" i="10"/>
  <c r="BO6" i="10"/>
  <c r="BN6" i="10"/>
  <c r="BO21" i="10"/>
  <c r="BN21" i="10"/>
  <c r="BO32" i="10"/>
  <c r="BN32" i="10"/>
  <c r="BO45" i="10"/>
  <c r="BN45" i="10"/>
  <c r="BO43" i="10"/>
  <c r="BN43" i="10"/>
  <c r="BO42" i="10"/>
  <c r="BN42" i="10"/>
  <c r="BO41" i="10"/>
  <c r="BN41" i="10"/>
  <c r="BO40" i="10"/>
  <c r="BN40" i="10"/>
  <c r="BO39" i="10"/>
  <c r="BN39" i="10"/>
  <c r="BO56" i="10"/>
  <c r="BN56" i="10"/>
  <c r="BO54" i="10"/>
  <c r="BN54" i="10"/>
  <c r="BO53" i="10"/>
  <c r="BN53" i="10"/>
  <c r="BO52" i="10"/>
  <c r="BN52" i="10"/>
  <c r="BO51" i="10"/>
  <c r="BN51" i="10"/>
  <c r="BO50" i="10"/>
  <c r="BN50" i="10"/>
  <c r="BO67" i="10"/>
  <c r="BN67" i="10"/>
  <c r="BO65" i="10"/>
  <c r="BN65" i="10"/>
  <c r="BO64" i="10"/>
  <c r="BN64" i="10"/>
  <c r="BO63" i="10"/>
  <c r="BN63" i="10"/>
  <c r="BO62" i="10"/>
  <c r="BN62" i="10"/>
  <c r="BO61" i="10"/>
  <c r="BN61" i="10"/>
  <c r="BO78" i="10"/>
  <c r="BN78" i="10"/>
  <c r="BO76" i="10"/>
  <c r="BN76" i="10"/>
  <c r="BO75" i="10"/>
  <c r="BN75" i="10"/>
  <c r="BO74" i="10"/>
  <c r="BN74" i="10"/>
  <c r="BO73" i="10"/>
  <c r="BN73" i="10"/>
  <c r="BO72" i="10"/>
  <c r="BN72" i="10"/>
  <c r="BO89" i="10"/>
  <c r="BN89" i="10"/>
  <c r="BO87" i="10"/>
  <c r="BN87" i="10"/>
  <c r="BO86" i="10"/>
  <c r="BN86" i="10"/>
  <c r="BO85" i="10"/>
  <c r="BN85" i="10"/>
  <c r="BO84" i="10"/>
  <c r="BN84" i="10"/>
  <c r="BO83" i="10"/>
  <c r="BN83" i="10"/>
  <c r="BO111" i="10"/>
  <c r="BN111" i="10"/>
  <c r="BO109" i="10"/>
  <c r="BN109" i="10"/>
  <c r="BO108" i="10"/>
  <c r="BN108" i="10"/>
  <c r="BO107" i="10"/>
  <c r="BN107" i="10"/>
  <c r="BO106" i="10"/>
  <c r="BN106" i="10"/>
  <c r="BO105" i="10"/>
  <c r="BN105" i="10"/>
  <c r="BO10" i="9"/>
  <c r="BN10" i="9"/>
  <c r="BO9" i="9"/>
  <c r="BN9" i="9"/>
  <c r="BO8" i="9"/>
  <c r="BN8" i="9"/>
  <c r="BO7" i="9"/>
  <c r="BN7" i="9"/>
  <c r="BO6" i="9"/>
  <c r="BN6" i="9"/>
  <c r="BO16" i="9"/>
  <c r="BN16" i="9"/>
  <c r="BO25" i="9"/>
  <c r="BN25" i="9"/>
  <c r="BO37" i="9"/>
  <c r="BN37" i="9"/>
  <c r="BO36" i="9"/>
  <c r="BN36" i="9"/>
  <c r="BO35" i="9"/>
  <c r="BN35" i="9"/>
  <c r="BO34" i="9"/>
  <c r="BN34" i="9"/>
  <c r="BO33" i="9"/>
  <c r="BN33" i="9"/>
  <c r="BO46" i="9"/>
  <c r="BN46" i="9"/>
  <c r="BO45" i="9"/>
  <c r="BN45" i="9"/>
  <c r="BO44" i="9"/>
  <c r="BN44" i="9"/>
  <c r="BO43" i="9"/>
  <c r="BN43" i="9"/>
  <c r="BO42" i="9"/>
  <c r="BN42" i="9"/>
  <c r="BO55" i="9"/>
  <c r="BN55" i="9"/>
  <c r="BO54" i="9"/>
  <c r="BN54" i="9"/>
  <c r="BO53" i="9"/>
  <c r="BN53" i="9"/>
  <c r="BO52" i="9"/>
  <c r="BN52" i="9"/>
  <c r="BO51" i="9"/>
  <c r="BN51" i="9"/>
  <c r="BO64" i="9"/>
  <c r="BN64" i="9"/>
  <c r="BO63" i="9"/>
  <c r="BN63" i="9"/>
  <c r="BO62" i="9"/>
  <c r="BN62" i="9"/>
  <c r="BO61" i="9"/>
  <c r="BN61" i="9"/>
  <c r="BO60" i="9"/>
  <c r="BN60" i="9"/>
  <c r="BO73" i="9"/>
  <c r="BN73" i="9"/>
  <c r="BO72" i="9"/>
  <c r="BN72" i="9"/>
  <c r="BO71" i="9"/>
  <c r="BN71" i="9"/>
  <c r="BO70" i="9"/>
  <c r="BN70" i="9"/>
  <c r="BO69" i="9"/>
  <c r="BN69" i="9"/>
  <c r="BO90" i="9"/>
  <c r="BN90" i="9"/>
  <c r="BO89" i="9"/>
  <c r="BN89" i="9"/>
  <c r="BO88" i="9"/>
  <c r="BN88" i="9"/>
  <c r="BO87" i="9"/>
  <c r="BN87" i="9"/>
  <c r="BO91" i="9"/>
  <c r="BN91" i="9"/>
  <c r="AB14" i="8"/>
  <c r="AB7" i="8"/>
  <c r="BO22" i="7"/>
  <c r="BN22" i="7"/>
  <c r="BO19" i="7"/>
  <c r="BN19" i="7"/>
  <c r="BO18" i="7"/>
  <c r="BN18" i="7"/>
  <c r="BO16" i="7"/>
  <c r="BN16" i="7"/>
  <c r="BO14" i="7"/>
  <c r="BN14" i="7"/>
  <c r="BO13" i="7"/>
  <c r="BN13" i="7"/>
  <c r="BO12" i="7"/>
  <c r="BN12" i="7"/>
  <c r="BO11" i="7"/>
  <c r="BN11" i="7"/>
  <c r="BO10" i="7"/>
  <c r="BN10" i="7"/>
  <c r="BO8" i="7"/>
  <c r="BN8" i="7"/>
  <c r="BO7" i="7"/>
  <c r="BN7" i="7"/>
  <c r="BO6" i="7"/>
  <c r="BN6" i="7"/>
  <c r="BC24" i="7"/>
  <c r="BB24" i="7"/>
  <c r="BN36" i="14"/>
  <c r="BN19" i="14"/>
  <c r="BM36" i="14"/>
  <c r="BM19" i="14"/>
  <c r="AS11" i="2"/>
  <c r="AR11" i="2"/>
  <c r="AQ11" i="2"/>
  <c r="Z36" i="14"/>
  <c r="Z19" i="14"/>
  <c r="AA36" i="14"/>
  <c r="AA19" i="14"/>
  <c r="BE94" i="10" l="1"/>
  <c r="BD94" i="10"/>
  <c r="AW100" i="10"/>
  <c r="AV100" i="10"/>
  <c r="AF7" i="8" l="1"/>
  <c r="Y7" i="8"/>
  <c r="W7" i="8"/>
  <c r="J7" i="8"/>
  <c r="AW20" i="7" l="1"/>
  <c r="BO20" i="7" s="1"/>
  <c r="AV20" i="7"/>
  <c r="BN20" i="7" s="1"/>
  <c r="AS24" i="7"/>
  <c r="AR24" i="7"/>
  <c r="AS14" i="1"/>
  <c r="AS12" i="1"/>
  <c r="AS11" i="1"/>
  <c r="AS10" i="1"/>
  <c r="AS9" i="1"/>
  <c r="AS8" i="1"/>
  <c r="AS6" i="1"/>
  <c r="AS5" i="1"/>
  <c r="AR14" i="1"/>
  <c r="AR12" i="1"/>
  <c r="AR11" i="1"/>
  <c r="AR10" i="1"/>
  <c r="AR9" i="1"/>
  <c r="AR8" i="1"/>
  <c r="AR6" i="1"/>
  <c r="AR5" i="1"/>
  <c r="S24" i="7"/>
  <c r="R24" i="7"/>
  <c r="AW14" i="1"/>
  <c r="AW12" i="1"/>
  <c r="AW11" i="1"/>
  <c r="AW10" i="1"/>
  <c r="AW9" i="1"/>
  <c r="AW8" i="1"/>
  <c r="AW6" i="1"/>
  <c r="AW5" i="1"/>
  <c r="AV14" i="1"/>
  <c r="AV12" i="1"/>
  <c r="AV11" i="1"/>
  <c r="AV10" i="1"/>
  <c r="AV9" i="1"/>
  <c r="AV8" i="1"/>
  <c r="AV6" i="1"/>
  <c r="AV5" i="1"/>
  <c r="BM23" i="10" l="1"/>
  <c r="BM20" i="10"/>
  <c r="BM19" i="10"/>
  <c r="BM18" i="10"/>
  <c r="BM34" i="10"/>
  <c r="BM33" i="10"/>
  <c r="BM31" i="10"/>
  <c r="BM30" i="10"/>
  <c r="BM29" i="10"/>
  <c r="BM28" i="10"/>
  <c r="BL34" i="10"/>
  <c r="BL33" i="10"/>
  <c r="BL31" i="10"/>
  <c r="BL29" i="10"/>
  <c r="BL28" i="10"/>
  <c r="BL23" i="10"/>
  <c r="BL20" i="10"/>
  <c r="BL18" i="10"/>
  <c r="BM19" i="9"/>
  <c r="BM18" i="9"/>
  <c r="BM17" i="9"/>
  <c r="BM15" i="9"/>
  <c r="BM28" i="9"/>
  <c r="BM27" i="9"/>
  <c r="BM26" i="9"/>
  <c r="BM24" i="9"/>
  <c r="BL28" i="9"/>
  <c r="BL27" i="9"/>
  <c r="BL26" i="9"/>
  <c r="BL24" i="9"/>
  <c r="BL19" i="9"/>
  <c r="BL18" i="9"/>
  <c r="BL17" i="9"/>
  <c r="BL15" i="9"/>
  <c r="AQ34" i="10"/>
  <c r="AQ33" i="10"/>
  <c r="AQ31" i="10"/>
  <c r="AQ30" i="10"/>
  <c r="AQ29" i="10"/>
  <c r="AQ28" i="10"/>
  <c r="AP34" i="10"/>
  <c r="AP33" i="10"/>
  <c r="AP31" i="10"/>
  <c r="AP29" i="10"/>
  <c r="AP28" i="10"/>
  <c r="AQ28" i="9"/>
  <c r="AQ27" i="9"/>
  <c r="AQ26" i="9"/>
  <c r="AQ24" i="9"/>
  <c r="AP27" i="9"/>
  <c r="AP26" i="9"/>
  <c r="AP24" i="9"/>
  <c r="AP28" i="9"/>
  <c r="AE34" i="10" l="1"/>
  <c r="AE33" i="10"/>
  <c r="AE31" i="10"/>
  <c r="AE30" i="10"/>
  <c r="AE29" i="10"/>
  <c r="AE28" i="10"/>
  <c r="AD34" i="10"/>
  <c r="AD33" i="10"/>
  <c r="AD31" i="10"/>
  <c r="AD30" i="10"/>
  <c r="AD29" i="10"/>
  <c r="AD28" i="10"/>
  <c r="AE28" i="9"/>
  <c r="AE27" i="9"/>
  <c r="AE26" i="9"/>
  <c r="AE24" i="9"/>
  <c r="AD28" i="9"/>
  <c r="AD27" i="9"/>
  <c r="AD26" i="9"/>
  <c r="AD24" i="9"/>
  <c r="AQ25" i="11" l="1"/>
  <c r="AQ24" i="11"/>
  <c r="AQ22" i="11"/>
  <c r="AP25" i="11"/>
  <c r="AP24" i="11"/>
  <c r="AP22" i="11"/>
  <c r="AE25" i="11" l="1"/>
  <c r="AE24" i="11"/>
  <c r="AE22" i="11"/>
  <c r="AD25" i="11"/>
  <c r="AD24" i="11"/>
  <c r="AD22" i="11"/>
  <c r="CR36" i="14"/>
  <c r="CQ36" i="14"/>
  <c r="CM36" i="14"/>
  <c r="CM35" i="14"/>
  <c r="CM34" i="14"/>
  <c r="CM33" i="14"/>
  <c r="CM32" i="14"/>
  <c r="CM31" i="14"/>
  <c r="CM30" i="14"/>
  <c r="CM29" i="14"/>
  <c r="CM28" i="14"/>
  <c r="CM27" i="14"/>
  <c r="CM26" i="14"/>
  <c r="CM25" i="14"/>
  <c r="CM24" i="14"/>
  <c r="CM23" i="14"/>
  <c r="CM22" i="14"/>
  <c r="CM19" i="14"/>
  <c r="CM18" i="14"/>
  <c r="CM17" i="14"/>
  <c r="CM16" i="14"/>
  <c r="CM14" i="14"/>
  <c r="CM13" i="14"/>
  <c r="CM12" i="14"/>
  <c r="CM11" i="14"/>
  <c r="CM10" i="14"/>
  <c r="CM7" i="14"/>
  <c r="CM6" i="14"/>
  <c r="BV14" i="14"/>
  <c r="BF6" i="14"/>
  <c r="BF7" i="14"/>
  <c r="AT18" i="14"/>
  <c r="AT17" i="14"/>
  <c r="AT16" i="14"/>
  <c r="AT15" i="14"/>
  <c r="AT14" i="14"/>
  <c r="AT13" i="14"/>
  <c r="AT12" i="14"/>
  <c r="AT11" i="14"/>
  <c r="AT10" i="14"/>
  <c r="AT9" i="14"/>
  <c r="AT8" i="14"/>
  <c r="AT7" i="14"/>
  <c r="AT6" i="14"/>
  <c r="AM36" i="14"/>
  <c r="AM19" i="14"/>
  <c r="AL36" i="14"/>
  <c r="AL19" i="14"/>
  <c r="ET9" i="2" l="1"/>
  <c r="ES9" i="2"/>
  <c r="ER9" i="2"/>
  <c r="BX14" i="3" l="1"/>
  <c r="BV14" i="3"/>
  <c r="CJ11" i="3"/>
  <c r="CH11" i="3"/>
  <c r="AG7" i="8" l="1"/>
  <c r="AE14" i="8"/>
  <c r="AE7" i="8"/>
  <c r="AC7" i="8"/>
  <c r="Z7" i="8"/>
  <c r="X7" i="8"/>
  <c r="V7" i="8"/>
  <c r="T7" i="8"/>
  <c r="S7" i="8"/>
  <c r="P7" i="8"/>
  <c r="N7" i="8"/>
  <c r="M7" i="8"/>
  <c r="AA24" i="7"/>
  <c r="Z24" i="7"/>
  <c r="BD24" i="7"/>
  <c r="BE24" i="7"/>
  <c r="AY24" i="7"/>
  <c r="AX24" i="7"/>
  <c r="Y24" i="7"/>
  <c r="X24" i="7"/>
  <c r="AG24" i="7" l="1"/>
  <c r="AF24" i="7"/>
  <c r="BG24" i="7"/>
  <c r="BF24" i="7"/>
  <c r="BG14" i="1"/>
  <c r="BG12" i="1"/>
  <c r="BG11" i="1"/>
  <c r="BG10" i="1"/>
  <c r="BG9" i="1"/>
  <c r="BG8" i="1"/>
  <c r="BG6" i="1"/>
  <c r="BG5" i="1"/>
  <c r="BF14" i="1"/>
  <c r="BF12" i="1"/>
  <c r="BF11" i="1"/>
  <c r="BF10" i="1"/>
  <c r="BF9" i="1"/>
  <c r="BF8" i="1"/>
  <c r="BF6" i="1"/>
  <c r="BF5" i="1"/>
  <c r="AE14" i="1"/>
  <c r="AE12" i="1"/>
  <c r="AE11" i="1"/>
  <c r="AE10" i="1"/>
  <c r="AE9" i="1"/>
  <c r="AE8" i="1"/>
  <c r="AE6" i="1"/>
  <c r="AE5" i="1"/>
  <c r="AD14" i="1"/>
  <c r="AD12" i="1"/>
  <c r="AD11" i="1"/>
  <c r="AD10" i="1"/>
  <c r="AD9" i="1"/>
  <c r="AD8" i="1"/>
  <c r="AD6" i="1"/>
  <c r="AD5" i="1"/>
  <c r="AA14" i="1"/>
  <c r="AA12" i="1"/>
  <c r="AA11" i="1"/>
  <c r="AA10" i="1"/>
  <c r="AA9" i="1"/>
  <c r="AA8" i="1"/>
  <c r="AA6" i="1"/>
  <c r="AA5" i="1"/>
  <c r="Z14" i="1"/>
  <c r="Z12" i="1"/>
  <c r="Z11" i="1"/>
  <c r="Z10" i="1"/>
  <c r="Z9" i="1"/>
  <c r="Z8" i="1"/>
  <c r="Z6" i="1"/>
  <c r="Z5" i="1"/>
  <c r="BM14" i="1"/>
  <c r="BM12" i="1"/>
  <c r="BM11" i="1"/>
  <c r="BM10" i="1"/>
  <c r="BM9" i="1"/>
  <c r="BM8" i="1"/>
  <c r="BM6" i="1"/>
  <c r="BM5" i="1"/>
  <c r="BL14" i="1"/>
  <c r="BL12" i="1"/>
  <c r="BL11" i="1"/>
  <c r="BL10" i="1"/>
  <c r="BL9" i="1"/>
  <c r="BL8" i="1"/>
  <c r="BL6" i="1"/>
  <c r="BL5" i="1"/>
  <c r="BI14" i="1"/>
  <c r="BI12" i="1"/>
  <c r="BI11" i="1"/>
  <c r="BI10" i="1"/>
  <c r="BI9" i="1"/>
  <c r="BI8" i="1"/>
  <c r="BI6" i="1"/>
  <c r="BI5" i="1"/>
  <c r="BH14" i="1"/>
  <c r="BH12" i="1"/>
  <c r="BH11" i="1"/>
  <c r="BH10" i="1"/>
  <c r="BH9" i="1"/>
  <c r="BH8" i="1"/>
  <c r="BH6" i="1"/>
  <c r="BH5" i="1"/>
  <c r="W25" i="11" l="1"/>
  <c r="BO25" i="11" s="1"/>
  <c r="W24" i="11"/>
  <c r="BO24" i="11" s="1"/>
  <c r="W22" i="11"/>
  <c r="BO22" i="11" s="1"/>
  <c r="V25" i="11"/>
  <c r="BN25" i="11" s="1"/>
  <c r="V24" i="11"/>
  <c r="BN24" i="11" s="1"/>
  <c r="V22" i="11"/>
  <c r="BN22" i="11" s="1"/>
  <c r="W17" i="11"/>
  <c r="BO17" i="11" s="1"/>
  <c r="W16" i="11"/>
  <c r="BO16" i="11" s="1"/>
  <c r="V17" i="11"/>
  <c r="BN17" i="11" s="1"/>
  <c r="V16" i="11"/>
  <c r="BN16" i="11" s="1"/>
  <c r="W110" i="10"/>
  <c r="BO110" i="10" s="1"/>
  <c r="V110" i="10"/>
  <c r="BN110" i="10" s="1"/>
  <c r="W55" i="10"/>
  <c r="BO55" i="10" s="1"/>
  <c r="V55" i="10"/>
  <c r="BN55" i="10" s="1"/>
  <c r="W66" i="10"/>
  <c r="BO66" i="10" s="1"/>
  <c r="V66" i="10"/>
  <c r="BN66" i="10" s="1"/>
  <c r="W88" i="10"/>
  <c r="BO88" i="10" s="1"/>
  <c r="V88" i="10"/>
  <c r="BN88" i="10" s="1"/>
  <c r="W44" i="10"/>
  <c r="BO44" i="10" s="1"/>
  <c r="V44" i="10"/>
  <c r="BN44" i="10" s="1"/>
  <c r="W77" i="10"/>
  <c r="BO77" i="10" s="1"/>
  <c r="V77" i="10"/>
  <c r="BN77" i="10" s="1"/>
  <c r="W34" i="10"/>
  <c r="BO34" i="10" s="1"/>
  <c r="W33" i="10"/>
  <c r="BO33" i="10" s="1"/>
  <c r="W31" i="10"/>
  <c r="BO31" i="10" s="1"/>
  <c r="W30" i="10"/>
  <c r="BO30" i="10" s="1"/>
  <c r="W29" i="10"/>
  <c r="BO29" i="10" s="1"/>
  <c r="W28" i="10"/>
  <c r="BO28" i="10" s="1"/>
  <c r="V34" i="10"/>
  <c r="BN34" i="10" s="1"/>
  <c r="V33" i="10"/>
  <c r="BN33" i="10" s="1"/>
  <c r="V31" i="10"/>
  <c r="BN31" i="10" s="1"/>
  <c r="V30" i="10"/>
  <c r="BN30" i="10" s="1"/>
  <c r="V28" i="10"/>
  <c r="BN28" i="10" s="1"/>
  <c r="V29" i="10"/>
  <c r="BN29" i="10" s="1"/>
  <c r="W23" i="10"/>
  <c r="BO23" i="10" s="1"/>
  <c r="W22" i="10"/>
  <c r="BO22" i="10" s="1"/>
  <c r="W20" i="10"/>
  <c r="BO20" i="10" s="1"/>
  <c r="W19" i="10"/>
  <c r="BO19" i="10" s="1"/>
  <c r="W18" i="10"/>
  <c r="BO18" i="10" s="1"/>
  <c r="W17" i="10"/>
  <c r="BO17" i="10" s="1"/>
  <c r="V23" i="10"/>
  <c r="BN23" i="10" s="1"/>
  <c r="V22" i="10"/>
  <c r="BN22" i="10" s="1"/>
  <c r="V20" i="10"/>
  <c r="BN20" i="10" s="1"/>
  <c r="V19" i="10"/>
  <c r="BN19" i="10" s="1"/>
  <c r="V18" i="10"/>
  <c r="BN18" i="10" s="1"/>
  <c r="V17" i="10"/>
  <c r="BN17" i="10" s="1"/>
  <c r="W11" i="10"/>
  <c r="BO11" i="10" s="1"/>
  <c r="V11" i="10"/>
  <c r="BN11" i="10" s="1"/>
  <c r="W28" i="9"/>
  <c r="BO28" i="9" s="1"/>
  <c r="W27" i="9"/>
  <c r="BO27" i="9" s="1"/>
  <c r="W26" i="9"/>
  <c r="BO26" i="9" s="1"/>
  <c r="W24" i="9"/>
  <c r="BO24" i="9" s="1"/>
  <c r="V28" i="9"/>
  <c r="BN28" i="9" s="1"/>
  <c r="V27" i="9"/>
  <c r="BN27" i="9" s="1"/>
  <c r="V26" i="9"/>
  <c r="BN26" i="9" s="1"/>
  <c r="V24" i="9"/>
  <c r="BN24" i="9" s="1"/>
  <c r="W19" i="9"/>
  <c r="BO19" i="9" s="1"/>
  <c r="W18" i="9"/>
  <c r="BO18" i="9" s="1"/>
  <c r="W17" i="9"/>
  <c r="BO17" i="9" s="1"/>
  <c r="W15" i="9"/>
  <c r="BO15" i="9" s="1"/>
  <c r="V19" i="9"/>
  <c r="BN19" i="9" s="1"/>
  <c r="V18" i="9"/>
  <c r="BN18" i="9" s="1"/>
  <c r="V17" i="9"/>
  <c r="BN17" i="9" s="1"/>
  <c r="V15" i="9"/>
  <c r="BN15" i="9" s="1"/>
  <c r="L7" i="8"/>
  <c r="W24" i="7"/>
  <c r="V24" i="7"/>
  <c r="U7" i="1" l="1"/>
  <c r="I7" i="8"/>
  <c r="H14" i="8"/>
  <c r="H7" i="8"/>
  <c r="O24" i="7"/>
  <c r="BO24" i="7" s="1"/>
  <c r="N24" i="7"/>
  <c r="BN24" i="7" s="1"/>
  <c r="O6" i="1"/>
  <c r="N6" i="1"/>
  <c r="O36" i="14"/>
  <c r="O19" i="14"/>
  <c r="N36" i="14"/>
  <c r="N19" i="14"/>
  <c r="F7" i="8"/>
  <c r="Q15" i="6"/>
  <c r="L31" i="14"/>
  <c r="R19" i="14" l="1"/>
  <c r="Q19" i="14"/>
  <c r="G7" i="8"/>
  <c r="M14" i="1"/>
  <c r="BO14" i="1" s="1"/>
  <c r="M12" i="1"/>
  <c r="BO12" i="1" s="1"/>
  <c r="M11" i="1"/>
  <c r="BO11" i="1" s="1"/>
  <c r="M10" i="1"/>
  <c r="BO10" i="1" s="1"/>
  <c r="M9" i="1"/>
  <c r="BO9" i="1" s="1"/>
  <c r="M8" i="1"/>
  <c r="BO8" i="1" s="1"/>
  <c r="M6" i="1"/>
  <c r="BO6" i="1" s="1"/>
  <c r="M5" i="1"/>
  <c r="BO5" i="1" s="1"/>
  <c r="L14" i="1"/>
  <c r="BN14" i="1" s="1"/>
  <c r="L12" i="1"/>
  <c r="BN12" i="1" s="1"/>
  <c r="L11" i="1"/>
  <c r="BN11" i="1" s="1"/>
  <c r="L10" i="1"/>
  <c r="BN10" i="1" s="1"/>
  <c r="L9" i="1"/>
  <c r="BN9" i="1" s="1"/>
  <c r="L8" i="1"/>
  <c r="BN8" i="1" s="1"/>
  <c r="L6" i="1"/>
  <c r="BN6" i="1" s="1"/>
  <c r="L5" i="1"/>
  <c r="BN5" i="1" s="1"/>
  <c r="B7" i="8"/>
  <c r="F35" i="14"/>
  <c r="F18" i="14"/>
  <c r="E18" i="14"/>
  <c r="CC11" i="6" l="1"/>
  <c r="CB11" i="6"/>
  <c r="CA11" i="6"/>
  <c r="BZ11" i="6"/>
  <c r="J13" i="18"/>
  <c r="R13" i="18" l="1"/>
  <c r="W11" i="18"/>
  <c r="BX12" i="6" l="1"/>
  <c r="AW11" i="6" l="1"/>
  <c r="AV11" i="6"/>
  <c r="AU11" i="6"/>
  <c r="S13" i="18" l="1"/>
  <c r="P13" i="18"/>
  <c r="N13" i="18"/>
  <c r="G9" i="18"/>
  <c r="C13" i="18"/>
  <c r="AG13" i="18"/>
  <c r="Z13" i="18"/>
  <c r="Y13" i="18"/>
  <c r="X13" i="18"/>
  <c r="L13" i="18" l="1"/>
  <c r="K13" i="18"/>
  <c r="C8" i="17"/>
  <c r="S11" i="16"/>
  <c r="Y11" i="16"/>
  <c r="T11" i="16"/>
  <c r="AE10" i="15" l="1"/>
  <c r="CE37" i="14" l="1"/>
  <c r="CF37" i="14"/>
  <c r="AH16" i="17" l="1"/>
  <c r="DE12" i="6" l="1"/>
  <c r="D32" i="15" l="1"/>
  <c r="AE54" i="15"/>
  <c r="CS36" i="14" l="1"/>
  <c r="CS35" i="14"/>
  <c r="CS34" i="14"/>
  <c r="CS29" i="14"/>
  <c r="CS28" i="14"/>
  <c r="CS22" i="14"/>
  <c r="CS19" i="14"/>
  <c r="CS18" i="14"/>
  <c r="CS13" i="14"/>
  <c r="CS10" i="14"/>
  <c r="CS6" i="14"/>
  <c r="CA34" i="14"/>
  <c r="CA13" i="14"/>
  <c r="CA10" i="14"/>
  <c r="CA7" i="14"/>
  <c r="CA6" i="14"/>
  <c r="Y34" i="14"/>
  <c r="BO35" i="14" l="1"/>
  <c r="BO29" i="14"/>
  <c r="BO28" i="14"/>
  <c r="BO27" i="14"/>
  <c r="BO22" i="14"/>
  <c r="BO18" i="14"/>
  <c r="BO16" i="14"/>
  <c r="BO14" i="14"/>
  <c r="BO13" i="14"/>
  <c r="BO11" i="14"/>
  <c r="BO10" i="14"/>
  <c r="BO7" i="14"/>
  <c r="BO6" i="14"/>
  <c r="CA35" i="14"/>
  <c r="CA29" i="14"/>
  <c r="CA28" i="14"/>
  <c r="CA23" i="14"/>
  <c r="CA22" i="14"/>
  <c r="CA19" i="14"/>
  <c r="CA18" i="14"/>
  <c r="AC7" i="1" l="1"/>
  <c r="AC13" i="1"/>
  <c r="AC15" i="1"/>
  <c r="ET15" i="2" l="1"/>
  <c r="ER15" i="2"/>
  <c r="ES15" i="2"/>
  <c r="BW14" i="3"/>
  <c r="BW13" i="3"/>
  <c r="AG14" i="8" l="1"/>
  <c r="AC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I14" i="8"/>
  <c r="G14" i="8"/>
  <c r="F14" i="8"/>
  <c r="C14" i="8"/>
  <c r="B14" i="8"/>
  <c r="E14" i="8"/>
  <c r="CW15" i="2" l="1"/>
  <c r="Q15" i="1" l="1"/>
  <c r="Q13" i="1"/>
  <c r="Q7" i="1"/>
  <c r="AS13" i="1" l="1"/>
  <c r="AS7" i="1" l="1"/>
  <c r="AS15" i="1"/>
  <c r="AH23" i="7" l="1"/>
  <c r="AH25" i="7" s="1"/>
  <c r="AH21" i="7"/>
  <c r="AH15" i="7"/>
  <c r="AI15" i="1" l="1"/>
  <c r="AI13" i="1"/>
  <c r="AI7" i="1"/>
  <c r="E12" i="6"/>
  <c r="AO13" i="1" l="1"/>
  <c r="AE15" i="1" l="1"/>
  <c r="AE13" i="1"/>
  <c r="K15" i="1"/>
  <c r="J15" i="1"/>
  <c r="I15" i="1"/>
  <c r="H15" i="1"/>
  <c r="G15" i="1"/>
  <c r="F15" i="1"/>
  <c r="E15" i="1"/>
  <c r="D15" i="1"/>
  <c r="C15" i="1"/>
  <c r="K13" i="1"/>
  <c r="J13" i="1"/>
  <c r="I13" i="1"/>
  <c r="H13" i="1"/>
  <c r="G13" i="1"/>
  <c r="F13" i="1"/>
  <c r="E13" i="1"/>
  <c r="D13" i="1"/>
  <c r="C13" i="1"/>
  <c r="K7" i="1"/>
  <c r="J7" i="1"/>
  <c r="I7" i="1"/>
  <c r="H7" i="1"/>
  <c r="G7" i="1"/>
  <c r="F7" i="1"/>
  <c r="E7" i="1"/>
  <c r="D7" i="1"/>
  <c r="C7" i="1"/>
  <c r="BK15" i="1"/>
  <c r="BI15" i="1"/>
  <c r="BH15" i="1"/>
  <c r="BK13" i="1"/>
  <c r="BI13" i="1"/>
  <c r="BH13" i="1"/>
  <c r="BK7" i="1"/>
  <c r="BI7" i="1"/>
  <c r="BH7" i="1"/>
  <c r="BE15" i="1"/>
  <c r="BE13" i="1"/>
  <c r="BE7" i="1"/>
  <c r="BC13" i="1"/>
  <c r="BA15" i="1"/>
  <c r="BA13" i="1"/>
  <c r="BA7" i="1"/>
  <c r="AU15" i="1"/>
  <c r="AU13" i="1"/>
  <c r="AU7" i="1"/>
  <c r="AG15" i="1"/>
  <c r="AG13" i="1"/>
  <c r="AG7" i="1"/>
  <c r="AA15" i="1"/>
  <c r="AA13" i="1"/>
  <c r="AA7" i="1"/>
  <c r="Y15" i="1"/>
  <c r="Y13" i="1"/>
  <c r="Y7" i="1"/>
  <c r="BC15" i="1" l="1"/>
  <c r="AE7" i="1"/>
  <c r="O15" i="1"/>
  <c r="O13" i="1"/>
  <c r="O7" i="1"/>
  <c r="BC7" i="1"/>
  <c r="CC20" i="14"/>
  <c r="AK15" i="1" l="1"/>
  <c r="Q14" i="18"/>
  <c r="AK13" i="1" l="1"/>
  <c r="AK7" i="1"/>
  <c r="U14" i="3"/>
  <c r="U13" i="3"/>
  <c r="U12" i="3"/>
  <c r="U11" i="3"/>
  <c r="U10" i="3"/>
  <c r="U9" i="3"/>
  <c r="U8" i="3"/>
  <c r="U7" i="3"/>
  <c r="U6" i="3"/>
  <c r="CR37" i="14"/>
  <c r="CQ37" i="14"/>
  <c r="CS33" i="14"/>
  <c r="CS32" i="14"/>
  <c r="CS31" i="14"/>
  <c r="CS30" i="14"/>
  <c r="CS27" i="14"/>
  <c r="CS26" i="14"/>
  <c r="CS25" i="14"/>
  <c r="CS24" i="14"/>
  <c r="CS23" i="14"/>
  <c r="CR20" i="14"/>
  <c r="CQ20" i="14"/>
  <c r="CS17" i="14"/>
  <c r="CS16" i="14"/>
  <c r="CS15" i="14"/>
  <c r="CS14" i="14"/>
  <c r="CS12" i="14"/>
  <c r="CS11" i="14"/>
  <c r="CS9" i="14"/>
  <c r="CS8" i="14"/>
  <c r="CS7" i="14"/>
  <c r="BM7" i="1"/>
  <c r="BM15" i="1"/>
  <c r="U82" i="9"/>
  <c r="U81" i="9"/>
  <c r="U80" i="9"/>
  <c r="U79" i="9"/>
  <c r="U78" i="9"/>
  <c r="U15" i="1"/>
  <c r="U13" i="1"/>
  <c r="CR38" i="14" l="1"/>
  <c r="CS37" i="14"/>
  <c r="CS20" i="14"/>
  <c r="CQ38" i="14"/>
  <c r="BM13" i="1"/>
  <c r="CS38" i="14" l="1"/>
  <c r="AW15" i="1" l="1"/>
  <c r="AW13" i="1"/>
  <c r="AW7" i="1"/>
  <c r="AQ7" i="1"/>
  <c r="V9" i="13"/>
  <c r="W15" i="1"/>
  <c r="W13" i="1"/>
  <c r="V7" i="1"/>
  <c r="S15" i="1"/>
  <c r="S13" i="1"/>
  <c r="S7" i="1"/>
  <c r="BW12" i="3"/>
  <c r="BW37" i="14"/>
  <c r="BV37" i="14"/>
  <c r="BX36" i="14"/>
  <c r="BX35" i="14"/>
  <c r="BX33" i="14"/>
  <c r="BX32" i="14"/>
  <c r="BX31" i="14"/>
  <c r="BX30" i="14"/>
  <c r="BX29" i="14"/>
  <c r="BX28" i="14"/>
  <c r="BX27" i="14"/>
  <c r="BX26" i="14"/>
  <c r="BX25" i="14"/>
  <c r="BX24" i="14"/>
  <c r="BX23" i="14"/>
  <c r="BX22" i="14"/>
  <c r="BW20" i="14"/>
  <c r="BV20" i="14"/>
  <c r="BX19" i="14"/>
  <c r="BX18" i="14"/>
  <c r="BX17" i="14"/>
  <c r="BX16" i="14"/>
  <c r="BX15" i="14"/>
  <c r="BX14" i="14"/>
  <c r="BX13" i="14"/>
  <c r="BX12" i="14"/>
  <c r="BX11" i="14"/>
  <c r="BX10" i="14"/>
  <c r="BX9" i="14"/>
  <c r="BX8" i="14"/>
  <c r="BX7" i="14"/>
  <c r="BX6" i="14"/>
  <c r="AY100" i="10"/>
  <c r="AX100" i="10"/>
  <c r="AY99" i="10"/>
  <c r="AX99" i="10"/>
  <c r="AY98" i="10"/>
  <c r="AX98" i="10"/>
  <c r="AY97" i="10"/>
  <c r="AX97" i="10"/>
  <c r="AY96" i="10"/>
  <c r="AX96" i="10"/>
  <c r="AY95" i="10"/>
  <c r="AX95" i="10"/>
  <c r="AY94" i="10"/>
  <c r="AX94" i="10"/>
  <c r="AY15" i="1"/>
  <c r="AY13" i="1"/>
  <c r="AY7" i="1"/>
  <c r="W7" i="1" l="1"/>
  <c r="BX20" i="14"/>
  <c r="BX37" i="14"/>
  <c r="AQ13" i="1"/>
  <c r="AQ15" i="1"/>
  <c r="BW38" i="14"/>
  <c r="BV38" i="14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W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D12" i="6"/>
  <c r="C12" i="6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BM99" i="10"/>
  <c r="BL99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W99" i="10"/>
  <c r="AV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AI99" i="10"/>
  <c r="AH99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W98" i="10"/>
  <c r="AV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BM97" i="10"/>
  <c r="BL97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W97" i="10"/>
  <c r="AV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I97" i="10"/>
  <c r="AH97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BM94" i="10"/>
  <c r="BL94" i="10"/>
  <c r="BK94" i="10"/>
  <c r="BJ94" i="10"/>
  <c r="BI94" i="10"/>
  <c r="BH94" i="10"/>
  <c r="BG94" i="10"/>
  <c r="BF94" i="10"/>
  <c r="BC94" i="10"/>
  <c r="BB94" i="10"/>
  <c r="BA94" i="10"/>
  <c r="AZ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H82" i="9"/>
  <c r="AH81" i="9"/>
  <c r="AH80" i="9"/>
  <c r="AH79" i="9"/>
  <c r="AH78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AJ82" i="9"/>
  <c r="AI82" i="9"/>
  <c r="BM81" i="9"/>
  <c r="BL81" i="9"/>
  <c r="BK81" i="9"/>
  <c r="BJ81" i="9"/>
  <c r="BI81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L81" i="9"/>
  <c r="AK81" i="9"/>
  <c r="AJ81" i="9"/>
  <c r="AI81" i="9"/>
  <c r="BM80" i="9"/>
  <c r="BL80" i="9"/>
  <c r="BK80" i="9"/>
  <c r="BJ80" i="9"/>
  <c r="BI80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AP80" i="9"/>
  <c r="AO80" i="9"/>
  <c r="AN80" i="9"/>
  <c r="AM80" i="9"/>
  <c r="AL80" i="9"/>
  <c r="AK80" i="9"/>
  <c r="AJ80" i="9"/>
  <c r="AI80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I79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I78" i="9"/>
  <c r="BM23" i="7"/>
  <c r="BM25" i="7" s="1"/>
  <c r="BL23" i="7"/>
  <c r="BL25" i="7" s="1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K23" i="7"/>
  <c r="AK25" i="7" s="1"/>
  <c r="AJ23" i="7"/>
  <c r="AJ25" i="7" s="1"/>
  <c r="AI23" i="7"/>
  <c r="AI25" i="7" s="1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K21" i="7"/>
  <c r="AJ21" i="7"/>
  <c r="AI21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K15" i="7"/>
  <c r="AJ15" i="7"/>
  <c r="AI15" i="7"/>
  <c r="BG15" i="1"/>
  <c r="BG13" i="1"/>
  <c r="BG7" i="1"/>
  <c r="M15" i="1"/>
  <c r="M13" i="1"/>
  <c r="M7" i="1"/>
  <c r="BX38" i="14" l="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O71" i="11" s="1"/>
  <c r="B71" i="11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O99" i="10" s="1"/>
  <c r="B99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O98" i="10" s="1"/>
  <c r="B98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O97" i="10" s="1"/>
  <c r="B97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O96" i="10" s="1"/>
  <c r="B96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O95" i="10" s="1"/>
  <c r="B95" i="10"/>
  <c r="AG80" i="9"/>
  <c r="AF80" i="9"/>
  <c r="AE80" i="9"/>
  <c r="AD80" i="9"/>
  <c r="AC80" i="9"/>
  <c r="AB80" i="9"/>
  <c r="AA80" i="9"/>
  <c r="Z80" i="9"/>
  <c r="Y80" i="9"/>
  <c r="X80" i="9"/>
  <c r="W80" i="9"/>
  <c r="V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O80" i="9" s="1"/>
  <c r="B80" i="9"/>
  <c r="AG79" i="9"/>
  <c r="AF79" i="9"/>
  <c r="AE79" i="9"/>
  <c r="AD79" i="9"/>
  <c r="AC79" i="9"/>
  <c r="AB79" i="9"/>
  <c r="AA79" i="9"/>
  <c r="Z79" i="9"/>
  <c r="Y79" i="9"/>
  <c r="X79" i="9"/>
  <c r="W79" i="9"/>
  <c r="V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BN79" i="9" s="1"/>
  <c r="BO79" i="9" l="1"/>
  <c r="BN95" i="10"/>
  <c r="BN96" i="10"/>
  <c r="BN97" i="10"/>
  <c r="BN98" i="10"/>
  <c r="BN99" i="10"/>
  <c r="BN71" i="11"/>
  <c r="BN72" i="11"/>
  <c r="BN80" i="9"/>
  <c r="BO72" i="11"/>
  <c r="BF16" i="14"/>
  <c r="BF15" i="14"/>
  <c r="BF14" i="14"/>
  <c r="BF13" i="14"/>
  <c r="BF12" i="14"/>
  <c r="BF11" i="14"/>
  <c r="BF10" i="14"/>
  <c r="BF9" i="14"/>
  <c r="AB15" i="16" l="1"/>
  <c r="AH4" i="16"/>
  <c r="AH5" i="16"/>
  <c r="AH6" i="16"/>
  <c r="AH7" i="16"/>
  <c r="AH8" i="16"/>
  <c r="AH9" i="16"/>
  <c r="AH10" i="16"/>
  <c r="AH12" i="16"/>
  <c r="AH13" i="16"/>
  <c r="AH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C15" i="16"/>
  <c r="AD15" i="16"/>
  <c r="AE15" i="16"/>
  <c r="AF15" i="16"/>
  <c r="AG15" i="16"/>
  <c r="AH16" i="16"/>
  <c r="AH17" i="16"/>
  <c r="AH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CN37" i="14"/>
  <c r="CL37" i="14"/>
  <c r="CK37" i="14"/>
  <c r="CI37" i="14"/>
  <c r="CH37" i="14"/>
  <c r="CC37" i="14"/>
  <c r="CC38" i="14" s="1"/>
  <c r="CB37" i="14"/>
  <c r="BZ37" i="14"/>
  <c r="BY37" i="14"/>
  <c r="BS37" i="14"/>
  <c r="BQ37" i="14"/>
  <c r="BP37" i="14"/>
  <c r="BN37" i="14"/>
  <c r="BM37" i="14"/>
  <c r="BK37" i="14"/>
  <c r="BJ37" i="14"/>
  <c r="BH37" i="14"/>
  <c r="BG37" i="14"/>
  <c r="BE37" i="14"/>
  <c r="BD37" i="14"/>
  <c r="BB37" i="14"/>
  <c r="BA37" i="14"/>
  <c r="AY37" i="14"/>
  <c r="AX37" i="14"/>
  <c r="AV37" i="14"/>
  <c r="AU37" i="14"/>
  <c r="AP37" i="14"/>
  <c r="AO37" i="14"/>
  <c r="AM37" i="14"/>
  <c r="AL37" i="14"/>
  <c r="AJ37" i="14"/>
  <c r="AI37" i="14"/>
  <c r="AD37" i="14"/>
  <c r="AC37" i="14"/>
  <c r="Z37" i="14"/>
  <c r="X37" i="14"/>
  <c r="W37" i="14"/>
  <c r="U37" i="14"/>
  <c r="T37" i="14"/>
  <c r="O37" i="14"/>
  <c r="N37" i="14"/>
  <c r="L37" i="14"/>
  <c r="K37" i="14"/>
  <c r="I37" i="14"/>
  <c r="H37" i="14"/>
  <c r="E37" i="14"/>
  <c r="C37" i="14"/>
  <c r="B37" i="14"/>
  <c r="CJ36" i="14"/>
  <c r="CG36" i="14"/>
  <c r="CD36" i="14"/>
  <c r="BU36" i="14"/>
  <c r="BT37" i="14"/>
  <c r="BR36" i="14"/>
  <c r="BO36" i="14"/>
  <c r="BL36" i="14"/>
  <c r="BI36" i="14"/>
  <c r="BF36" i="14"/>
  <c r="BC36" i="14"/>
  <c r="AZ36" i="14"/>
  <c r="AW36" i="14"/>
  <c r="AT36" i="14"/>
  <c r="AQ36" i="14"/>
  <c r="AN36" i="14"/>
  <c r="AK36" i="14"/>
  <c r="AH36" i="14"/>
  <c r="AE36" i="14"/>
  <c r="AB36" i="14"/>
  <c r="Y36" i="14"/>
  <c r="V36" i="14"/>
  <c r="S36" i="14"/>
  <c r="Q37" i="14"/>
  <c r="P36" i="14"/>
  <c r="M36" i="14"/>
  <c r="J36" i="14"/>
  <c r="G36" i="14"/>
  <c r="D36" i="14"/>
  <c r="CJ35" i="14"/>
  <c r="CG35" i="14"/>
  <c r="CD35" i="14"/>
  <c r="BU35" i="14"/>
  <c r="BR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M35" i="14"/>
  <c r="F37" i="14"/>
  <c r="D35" i="14"/>
  <c r="CP33" i="14"/>
  <c r="CJ33" i="14"/>
  <c r="CG33" i="14"/>
  <c r="CD33" i="14"/>
  <c r="CA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P32" i="14"/>
  <c r="CJ32" i="14"/>
  <c r="CG32" i="14"/>
  <c r="CD32" i="14"/>
  <c r="CA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7" i="14"/>
  <c r="Y32" i="14"/>
  <c r="V32" i="14"/>
  <c r="S32" i="14"/>
  <c r="P32" i="14"/>
  <c r="M32" i="14"/>
  <c r="J32" i="14"/>
  <c r="G32" i="14"/>
  <c r="D32" i="14"/>
  <c r="CP31" i="14"/>
  <c r="CJ31" i="14"/>
  <c r="CG31" i="14"/>
  <c r="CD31" i="14"/>
  <c r="CA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P30" i="14"/>
  <c r="CJ30" i="14"/>
  <c r="CG30" i="14"/>
  <c r="CD30" i="14"/>
  <c r="CA30" i="14"/>
  <c r="BU30" i="14"/>
  <c r="BR30" i="14"/>
  <c r="BO30" i="14"/>
  <c r="BL30" i="14"/>
  <c r="BI30" i="14"/>
  <c r="BF30" i="14"/>
  <c r="BC30" i="14"/>
  <c r="AZ30" i="14"/>
  <c r="AW30" i="14"/>
  <c r="AS37" i="14"/>
  <c r="AR37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J29" i="14"/>
  <c r="CG29" i="14"/>
  <c r="CD29" i="14"/>
  <c r="BU29" i="14"/>
  <c r="BR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J28" i="14"/>
  <c r="CG28" i="14"/>
  <c r="CD28" i="14"/>
  <c r="BU28" i="14"/>
  <c r="BR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P27" i="14"/>
  <c r="CJ27" i="14"/>
  <c r="CG27" i="14"/>
  <c r="CD27" i="14"/>
  <c r="CA27" i="14"/>
  <c r="BU27" i="14"/>
  <c r="BR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P26" i="14"/>
  <c r="CJ26" i="14"/>
  <c r="CG26" i="14"/>
  <c r="CD26" i="14"/>
  <c r="CA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P25" i="14"/>
  <c r="CJ25" i="14"/>
  <c r="CG25" i="14"/>
  <c r="CD25" i="14"/>
  <c r="CA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P24" i="14"/>
  <c r="CJ24" i="14"/>
  <c r="CG24" i="14"/>
  <c r="CD24" i="14"/>
  <c r="CA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O37" i="14"/>
  <c r="CJ23" i="14"/>
  <c r="CG23" i="14"/>
  <c r="CD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J22" i="14"/>
  <c r="CG22" i="14"/>
  <c r="CD22" i="14"/>
  <c r="BU22" i="14"/>
  <c r="BR22" i="14"/>
  <c r="BL22" i="14"/>
  <c r="BI22" i="14"/>
  <c r="BF22" i="14"/>
  <c r="BC22" i="14"/>
  <c r="AZ22" i="14"/>
  <c r="AW22" i="14"/>
  <c r="AT22" i="14"/>
  <c r="AQ22" i="14"/>
  <c r="AN22" i="14"/>
  <c r="AK22" i="14"/>
  <c r="AH22" i="14"/>
  <c r="AG37" i="14"/>
  <c r="AF37" i="14"/>
  <c r="AE22" i="14"/>
  <c r="AB22" i="14"/>
  <c r="Y22" i="14"/>
  <c r="V22" i="14"/>
  <c r="S22" i="14"/>
  <c r="P22" i="14"/>
  <c r="M22" i="14"/>
  <c r="G22" i="14"/>
  <c r="D22" i="14"/>
  <c r="CO20" i="14"/>
  <c r="CL20" i="14"/>
  <c r="CK20" i="14"/>
  <c r="CI20" i="14"/>
  <c r="CH20" i="14"/>
  <c r="CB20" i="14"/>
  <c r="CB38" i="14" s="1"/>
  <c r="BZ20" i="14"/>
  <c r="BY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P20" i="14"/>
  <c r="AO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H20" i="14"/>
  <c r="E20" i="14"/>
  <c r="C20" i="14"/>
  <c r="B20" i="14"/>
  <c r="CJ19" i="14"/>
  <c r="CG19" i="14"/>
  <c r="CD19" i="14"/>
  <c r="BU19" i="14"/>
  <c r="BS20" i="14"/>
  <c r="BR19" i="14"/>
  <c r="BO19" i="14"/>
  <c r="BL19" i="14"/>
  <c r="BI19" i="14"/>
  <c r="BF19" i="14"/>
  <c r="BC19" i="14"/>
  <c r="AZ19" i="14"/>
  <c r="AW19" i="14"/>
  <c r="AT19" i="14"/>
  <c r="AQ19" i="14"/>
  <c r="AM20" i="14"/>
  <c r="AL20" i="14"/>
  <c r="AK19" i="14"/>
  <c r="AH19" i="14"/>
  <c r="AE19" i="14"/>
  <c r="AB19" i="14"/>
  <c r="Y19" i="14"/>
  <c r="V19" i="14"/>
  <c r="T20" i="14"/>
  <c r="R20" i="14"/>
  <c r="Q20" i="14"/>
  <c r="P19" i="14"/>
  <c r="M19" i="14"/>
  <c r="G19" i="14"/>
  <c r="D19" i="14"/>
  <c r="CJ18" i="14"/>
  <c r="CG18" i="14"/>
  <c r="CE20" i="14"/>
  <c r="CE38" i="14" s="1"/>
  <c r="CD18" i="14"/>
  <c r="BU18" i="14"/>
  <c r="BR18" i="14"/>
  <c r="BL18" i="14"/>
  <c r="BI18" i="14"/>
  <c r="BF18" i="14"/>
  <c r="BC18" i="14"/>
  <c r="AZ18" i="14"/>
  <c r="AW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P17" i="14"/>
  <c r="CJ17" i="14"/>
  <c r="CG17" i="14"/>
  <c r="CD17" i="14"/>
  <c r="CA17" i="14"/>
  <c r="BU17" i="14"/>
  <c r="BR17" i="14"/>
  <c r="BO17" i="14"/>
  <c r="BL17" i="14"/>
  <c r="BI17" i="14"/>
  <c r="BF17" i="14"/>
  <c r="BC17" i="14"/>
  <c r="AZ17" i="14"/>
  <c r="AW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P16" i="14"/>
  <c r="CJ16" i="14"/>
  <c r="CG16" i="14"/>
  <c r="CD16" i="14"/>
  <c r="CA16" i="14"/>
  <c r="BU16" i="14"/>
  <c r="BR16" i="14"/>
  <c r="BL16" i="14"/>
  <c r="BI16" i="14"/>
  <c r="BC16" i="14"/>
  <c r="AZ16" i="14"/>
  <c r="AW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P15" i="14"/>
  <c r="CM15" i="14"/>
  <c r="CJ15" i="14"/>
  <c r="CG15" i="14"/>
  <c r="CD15" i="14"/>
  <c r="CA15" i="14"/>
  <c r="BU15" i="14"/>
  <c r="BR15" i="14"/>
  <c r="BO15" i="14"/>
  <c r="BL15" i="14"/>
  <c r="BI15" i="14"/>
  <c r="BC15" i="14"/>
  <c r="AZ15" i="14"/>
  <c r="AW15" i="14"/>
  <c r="AS20" i="14"/>
  <c r="AR20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P14" i="14"/>
  <c r="CJ14" i="14"/>
  <c r="CG14" i="14"/>
  <c r="CD14" i="14"/>
  <c r="CA14" i="14"/>
  <c r="BU14" i="14"/>
  <c r="BR14" i="14"/>
  <c r="BL14" i="14"/>
  <c r="BI14" i="14"/>
  <c r="BC14" i="14"/>
  <c r="AZ14" i="14"/>
  <c r="AW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J13" i="14"/>
  <c r="CG13" i="14"/>
  <c r="CD13" i="14"/>
  <c r="BU13" i="14"/>
  <c r="BR13" i="14"/>
  <c r="BL13" i="14"/>
  <c r="BI13" i="14"/>
  <c r="BC13" i="14"/>
  <c r="AZ13" i="14"/>
  <c r="AW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P12" i="14"/>
  <c r="CJ12" i="14"/>
  <c r="CG12" i="14"/>
  <c r="CD12" i="14"/>
  <c r="CA12" i="14"/>
  <c r="BU12" i="14"/>
  <c r="BR12" i="14"/>
  <c r="BO12" i="14"/>
  <c r="BL12" i="14"/>
  <c r="BI12" i="14"/>
  <c r="BC12" i="14"/>
  <c r="AZ12" i="14"/>
  <c r="AW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P11" i="14"/>
  <c r="CJ11" i="14"/>
  <c r="CG11" i="14"/>
  <c r="CD11" i="14"/>
  <c r="CA11" i="14"/>
  <c r="BU11" i="14"/>
  <c r="BR11" i="14"/>
  <c r="BL11" i="14"/>
  <c r="BI11" i="14"/>
  <c r="BC11" i="14"/>
  <c r="AZ11" i="14"/>
  <c r="AW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J10" i="14"/>
  <c r="CG10" i="14"/>
  <c r="CD10" i="14"/>
  <c r="BU10" i="14"/>
  <c r="BR10" i="14"/>
  <c r="BL10" i="14"/>
  <c r="BI10" i="14"/>
  <c r="BC10" i="14"/>
  <c r="AZ10" i="14"/>
  <c r="AW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P9" i="14"/>
  <c r="CM9" i="14"/>
  <c r="CJ9" i="14"/>
  <c r="CG9" i="14"/>
  <c r="CD9" i="14"/>
  <c r="CA9" i="14"/>
  <c r="BU9" i="14"/>
  <c r="BR9" i="14"/>
  <c r="BO9" i="14"/>
  <c r="BL9" i="14"/>
  <c r="BI9" i="14"/>
  <c r="BC9" i="14"/>
  <c r="AZ9" i="14"/>
  <c r="AW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P8" i="14"/>
  <c r="CM8" i="14"/>
  <c r="CJ8" i="14"/>
  <c r="CG8" i="14"/>
  <c r="CD8" i="14"/>
  <c r="CA8" i="14"/>
  <c r="BU8" i="14"/>
  <c r="BR8" i="14"/>
  <c r="BO8" i="14"/>
  <c r="BL8" i="14"/>
  <c r="BI8" i="14"/>
  <c r="BF8" i="14"/>
  <c r="BC8" i="14"/>
  <c r="AZ8" i="14"/>
  <c r="AW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P7" i="14"/>
  <c r="CJ7" i="14"/>
  <c r="CG7" i="14"/>
  <c r="CD7" i="14"/>
  <c r="BU7" i="14"/>
  <c r="BR7" i="14"/>
  <c r="BL7" i="14"/>
  <c r="BI7" i="14"/>
  <c r="BC7" i="14"/>
  <c r="AZ7" i="14"/>
  <c r="AW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J6" i="14"/>
  <c r="CG6" i="14"/>
  <c r="CD6" i="14"/>
  <c r="BU6" i="14"/>
  <c r="BR6" i="14"/>
  <c r="BL6" i="14"/>
  <c r="BI6" i="14"/>
  <c r="BC6" i="14"/>
  <c r="AZ6" i="14"/>
  <c r="AW6" i="14"/>
  <c r="AQ6" i="14"/>
  <c r="AN6" i="14"/>
  <c r="AK6" i="14"/>
  <c r="AG20" i="14"/>
  <c r="AF20" i="14"/>
  <c r="AE6" i="14"/>
  <c r="AB6" i="14"/>
  <c r="Y6" i="14"/>
  <c r="V6" i="14"/>
  <c r="S6" i="14"/>
  <c r="P6" i="14"/>
  <c r="M6" i="14"/>
  <c r="G6" i="14"/>
  <c r="D6" i="14"/>
  <c r="CA37" i="14" l="1"/>
  <c r="BO37" i="14"/>
  <c r="BO20" i="14"/>
  <c r="I38" i="14"/>
  <c r="Y37" i="14"/>
  <c r="AL38" i="14"/>
  <c r="BB38" i="14"/>
  <c r="BF20" i="14"/>
  <c r="J37" i="14"/>
  <c r="AW37" i="14"/>
  <c r="BI20" i="14"/>
  <c r="B38" i="14"/>
  <c r="AU38" i="14"/>
  <c r="BG38" i="14"/>
  <c r="Y20" i="14"/>
  <c r="CA20" i="14"/>
  <c r="BI37" i="14"/>
  <c r="AW20" i="14"/>
  <c r="J20" i="14"/>
  <c r="BJ38" i="14"/>
  <c r="AF38" i="14"/>
  <c r="C38" i="14"/>
  <c r="AV38" i="14"/>
  <c r="BH38" i="14"/>
  <c r="BY38" i="14"/>
  <c r="AI38" i="14"/>
  <c r="BZ38" i="14"/>
  <c r="H38" i="14"/>
  <c r="W38" i="14"/>
  <c r="X38" i="14"/>
  <c r="BM38" i="14"/>
  <c r="BN38" i="14"/>
  <c r="S37" i="14"/>
  <c r="D37" i="14"/>
  <c r="D20" i="14"/>
  <c r="E38" i="14"/>
  <c r="K38" i="14"/>
  <c r="L38" i="14"/>
  <c r="M20" i="14"/>
  <c r="M37" i="14"/>
  <c r="V37" i="14"/>
  <c r="P37" i="14"/>
  <c r="P20" i="14"/>
  <c r="O38" i="14"/>
  <c r="N38" i="14"/>
  <c r="T38" i="14"/>
  <c r="V20" i="14"/>
  <c r="AB20" i="14"/>
  <c r="AA38" i="14"/>
  <c r="Z38" i="14"/>
  <c r="AK37" i="14"/>
  <c r="AH37" i="14"/>
  <c r="AJ38" i="14"/>
  <c r="AK20" i="14"/>
  <c r="AQ20" i="14"/>
  <c r="AO38" i="14"/>
  <c r="AP38" i="14"/>
  <c r="AN37" i="14"/>
  <c r="AQ37" i="14"/>
  <c r="BF37" i="14"/>
  <c r="BC37" i="14"/>
  <c r="AZ37" i="14"/>
  <c r="AX38" i="14"/>
  <c r="AY38" i="14"/>
  <c r="AZ20" i="14"/>
  <c r="BA38" i="14"/>
  <c r="BC20" i="14"/>
  <c r="BD38" i="14"/>
  <c r="BE38" i="14"/>
  <c r="BL20" i="14"/>
  <c r="BK38" i="14"/>
  <c r="BR20" i="14"/>
  <c r="BP38" i="14"/>
  <c r="BQ38" i="14"/>
  <c r="BL37" i="14"/>
  <c r="BR37" i="14"/>
  <c r="CD37" i="14"/>
  <c r="BU37" i="14"/>
  <c r="BU20" i="14"/>
  <c r="CD20" i="14"/>
  <c r="CG20" i="14"/>
  <c r="CJ20" i="14"/>
  <c r="CH38" i="14"/>
  <c r="CJ37" i="14"/>
  <c r="CI38" i="14"/>
  <c r="CL38" i="14"/>
  <c r="CM20" i="14"/>
  <c r="CM37" i="14"/>
  <c r="CK38" i="14"/>
  <c r="CP37" i="14"/>
  <c r="CO38" i="14"/>
  <c r="CP20" i="14"/>
  <c r="AD38" i="14"/>
  <c r="AE37" i="14"/>
  <c r="AE20" i="14"/>
  <c r="AC38" i="14"/>
  <c r="AH19" i="16"/>
  <c r="AH11" i="16"/>
  <c r="AH15" i="16"/>
  <c r="AS38" i="14"/>
  <c r="BS38" i="14"/>
  <c r="AG38" i="14"/>
  <c r="Q38" i="14"/>
  <c r="CG37" i="14"/>
  <c r="AR38" i="14"/>
  <c r="F38" i="14"/>
  <c r="AM38" i="14"/>
  <c r="AN19" i="14"/>
  <c r="AN20" i="14" s="1"/>
  <c r="BT20" i="14"/>
  <c r="BT38" i="14" s="1"/>
  <c r="AH6" i="14"/>
  <c r="AH20" i="14" s="1"/>
  <c r="CF20" i="14"/>
  <c r="CF38" i="14" s="1"/>
  <c r="CN20" i="14"/>
  <c r="CN38" i="14" s="1"/>
  <c r="AB32" i="14"/>
  <c r="AB37" i="14" s="1"/>
  <c r="U20" i="14"/>
  <c r="U38" i="14" s="1"/>
  <c r="R37" i="14"/>
  <c r="R38" i="14" s="1"/>
  <c r="G18" i="14"/>
  <c r="G20" i="14" s="1"/>
  <c r="AT20" i="14"/>
  <c r="S19" i="14"/>
  <c r="S20" i="14" s="1"/>
  <c r="AT30" i="14"/>
  <c r="AT37" i="14" s="1"/>
  <c r="G35" i="14"/>
  <c r="G37" i="14" s="1"/>
  <c r="CA38" i="14" l="1"/>
  <c r="BI38" i="14"/>
  <c r="BO38" i="14"/>
  <c r="J38" i="14"/>
  <c r="Y38" i="14"/>
  <c r="AW38" i="14"/>
  <c r="CG38" i="14"/>
  <c r="M38" i="14"/>
  <c r="V38" i="14"/>
  <c r="BF38" i="14"/>
  <c r="AN38" i="14"/>
  <c r="BC38" i="14"/>
  <c r="P38" i="14"/>
  <c r="D38" i="14"/>
  <c r="BU38" i="14"/>
  <c r="AH38" i="14"/>
  <c r="AB38" i="14"/>
  <c r="AZ38" i="14"/>
  <c r="CJ38" i="14"/>
  <c r="S38" i="14"/>
  <c r="G38" i="14"/>
  <c r="AK38" i="14"/>
  <c r="AQ38" i="14"/>
  <c r="AT38" i="14"/>
  <c r="BL38" i="14"/>
  <c r="BR38" i="14"/>
  <c r="CD38" i="14"/>
  <c r="CM38" i="14"/>
  <c r="CP38" i="14"/>
  <c r="AE38" i="14"/>
  <c r="DV15" i="2" l="1"/>
  <c r="DU15" i="2"/>
  <c r="DT15" i="2"/>
  <c r="DS15" i="2"/>
  <c r="DR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FE15" i="2"/>
  <c r="FD15" i="2"/>
  <c r="FC15" i="2"/>
  <c r="FB15" i="2"/>
  <c r="FA15" i="2"/>
  <c r="EZ15" i="2"/>
  <c r="EY15" i="2"/>
  <c r="EX15" i="2"/>
  <c r="EW15" i="2"/>
  <c r="EV15" i="2"/>
  <c r="EU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W11" i="3"/>
  <c r="BW10" i="3"/>
  <c r="BW9" i="3"/>
  <c r="BW8" i="3"/>
  <c r="BW7" i="3"/>
  <c r="BW6" i="3"/>
  <c r="BW5" i="3"/>
  <c r="AG23" i="7" l="1"/>
  <c r="AG25" i="7" s="1"/>
  <c r="AF23" i="7"/>
  <c r="AF25" i="7" s="1"/>
  <c r="AE23" i="7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J23" i="7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H28" i="8"/>
  <c r="AH27" i="8"/>
  <c r="AH26" i="8"/>
  <c r="AH23" i="8"/>
  <c r="AH22" i="8"/>
  <c r="AH20" i="8"/>
  <c r="AH19" i="8"/>
  <c r="AH17" i="8"/>
  <c r="AH16" i="8"/>
  <c r="AH15" i="8"/>
  <c r="AH13" i="8"/>
  <c r="AH12" i="8"/>
  <c r="AH8" i="8"/>
  <c r="AH7" i="8"/>
  <c r="AH6" i="8"/>
  <c r="AH5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U25" i="8" s="1"/>
  <c r="T21" i="8"/>
  <c r="S21" i="8"/>
  <c r="R21" i="8"/>
  <c r="Q21" i="8"/>
  <c r="P21" i="8"/>
  <c r="O21" i="8"/>
  <c r="N21" i="8"/>
  <c r="M21" i="8"/>
  <c r="L21" i="8"/>
  <c r="K21" i="8"/>
  <c r="J21" i="8"/>
  <c r="I21" i="8"/>
  <c r="I25" i="8" s="1"/>
  <c r="H21" i="8"/>
  <c r="G21" i="8"/>
  <c r="F21" i="8"/>
  <c r="E21" i="8"/>
  <c r="D21" i="8"/>
  <c r="C21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9" i="8"/>
  <c r="AG82" i="9"/>
  <c r="AF82" i="9"/>
  <c r="AE82" i="9"/>
  <c r="AD82" i="9"/>
  <c r="AC82" i="9"/>
  <c r="AB82" i="9"/>
  <c r="AA82" i="9"/>
  <c r="Z82" i="9"/>
  <c r="Y82" i="9"/>
  <c r="X82" i="9"/>
  <c r="W82" i="9"/>
  <c r="V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G81" i="9"/>
  <c r="AF81" i="9"/>
  <c r="AE81" i="9"/>
  <c r="AD81" i="9"/>
  <c r="AC81" i="9"/>
  <c r="AB81" i="9"/>
  <c r="AA81" i="9"/>
  <c r="Z81" i="9"/>
  <c r="Y81" i="9"/>
  <c r="X81" i="9"/>
  <c r="W81" i="9"/>
  <c r="V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G78" i="9"/>
  <c r="AF78" i="9"/>
  <c r="AE78" i="9"/>
  <c r="AD78" i="9"/>
  <c r="AC78" i="9"/>
  <c r="AB78" i="9"/>
  <c r="AA78" i="9"/>
  <c r="Z78" i="9"/>
  <c r="Y78" i="9"/>
  <c r="X78" i="9"/>
  <c r="W78" i="9"/>
  <c r="V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82" i="9"/>
  <c r="B81" i="9"/>
  <c r="B78" i="9"/>
  <c r="BN78" i="9" s="1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O100" i="10" s="1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BN94" i="10" s="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BO73" i="11" s="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3" i="11"/>
  <c r="B70" i="11"/>
  <c r="BN70" i="11" s="1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O15" i="12" s="1"/>
  <c r="B15" i="12"/>
  <c r="BN15" i="12" s="1"/>
  <c r="CR14" i="3"/>
  <c r="CO14" i="3"/>
  <c r="CL14" i="3"/>
  <c r="CI14" i="3"/>
  <c r="CF14" i="3"/>
  <c r="CC14" i="3"/>
  <c r="BZ14" i="3"/>
  <c r="BT14" i="3"/>
  <c r="BQ14" i="3"/>
  <c r="BN14" i="3"/>
  <c r="BK14" i="3"/>
  <c r="BB14" i="3"/>
  <c r="AY14" i="3"/>
  <c r="AV14" i="3"/>
  <c r="AS14" i="3"/>
  <c r="AP14" i="3"/>
  <c r="AM14" i="3"/>
  <c r="AJ14" i="3"/>
  <c r="AG14" i="3"/>
  <c r="AD14" i="3"/>
  <c r="AA14" i="3"/>
  <c r="X14" i="3"/>
  <c r="R14" i="3"/>
  <c r="O14" i="3"/>
  <c r="L14" i="3"/>
  <c r="I14" i="3"/>
  <c r="F14" i="3"/>
  <c r="C14" i="3"/>
  <c r="CR13" i="3"/>
  <c r="CO13" i="3"/>
  <c r="CL13" i="3"/>
  <c r="CI13" i="3"/>
  <c r="CF13" i="3"/>
  <c r="CC13" i="3"/>
  <c r="BZ13" i="3"/>
  <c r="BT13" i="3"/>
  <c r="BQ13" i="3"/>
  <c r="BN13" i="3"/>
  <c r="BK13" i="3"/>
  <c r="BB13" i="3"/>
  <c r="AY13" i="3"/>
  <c r="AV13" i="3"/>
  <c r="AS13" i="3"/>
  <c r="AP13" i="3"/>
  <c r="AM13" i="3"/>
  <c r="AJ13" i="3"/>
  <c r="AG13" i="3"/>
  <c r="AD13" i="3"/>
  <c r="AA13" i="3"/>
  <c r="X13" i="3"/>
  <c r="R13" i="3"/>
  <c r="O13" i="3"/>
  <c r="L13" i="3"/>
  <c r="I13" i="3"/>
  <c r="F13" i="3"/>
  <c r="C13" i="3"/>
  <c r="CR12" i="3"/>
  <c r="CO12" i="3"/>
  <c r="CL12" i="3"/>
  <c r="CI12" i="3"/>
  <c r="CF12" i="3"/>
  <c r="CC12" i="3"/>
  <c r="BZ12" i="3"/>
  <c r="BT12" i="3"/>
  <c r="BQ12" i="3"/>
  <c r="BN12" i="3"/>
  <c r="BK12" i="3"/>
  <c r="BB12" i="3"/>
  <c r="AY12" i="3"/>
  <c r="AV12" i="3"/>
  <c r="AS12" i="3"/>
  <c r="AP12" i="3"/>
  <c r="AM12" i="3"/>
  <c r="AJ12" i="3"/>
  <c r="AG12" i="3"/>
  <c r="AD12" i="3"/>
  <c r="AA12" i="3"/>
  <c r="X12" i="3"/>
  <c r="R12" i="3"/>
  <c r="O12" i="3"/>
  <c r="L12" i="3"/>
  <c r="I12" i="3"/>
  <c r="F12" i="3"/>
  <c r="C12" i="3"/>
  <c r="CR11" i="3"/>
  <c r="CO11" i="3"/>
  <c r="CL11" i="3"/>
  <c r="CI11" i="3"/>
  <c r="CF11" i="3"/>
  <c r="CC11" i="3"/>
  <c r="BZ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R11" i="3"/>
  <c r="O11" i="3"/>
  <c r="L11" i="3"/>
  <c r="I11" i="3"/>
  <c r="F11" i="3"/>
  <c r="C11" i="3"/>
  <c r="CR10" i="3"/>
  <c r="CO10" i="3"/>
  <c r="CL10" i="3"/>
  <c r="CI10" i="3"/>
  <c r="CF10" i="3"/>
  <c r="CC10" i="3"/>
  <c r="BZ10" i="3"/>
  <c r="BT10" i="3"/>
  <c r="BQ10" i="3"/>
  <c r="BN10" i="3"/>
  <c r="BK10" i="3"/>
  <c r="BB10" i="3"/>
  <c r="AY10" i="3"/>
  <c r="AV10" i="3"/>
  <c r="AS10" i="3"/>
  <c r="AP10" i="3"/>
  <c r="AM10" i="3"/>
  <c r="AJ10" i="3"/>
  <c r="AG10" i="3"/>
  <c r="AD10" i="3"/>
  <c r="AA10" i="3"/>
  <c r="X10" i="3"/>
  <c r="R10" i="3"/>
  <c r="O10" i="3"/>
  <c r="L10" i="3"/>
  <c r="I10" i="3"/>
  <c r="F10" i="3"/>
  <c r="C10" i="3"/>
  <c r="CR9" i="3"/>
  <c r="CO9" i="3"/>
  <c r="CL9" i="3"/>
  <c r="CI9" i="3"/>
  <c r="CF9" i="3"/>
  <c r="CC9" i="3"/>
  <c r="BZ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R9" i="3"/>
  <c r="O9" i="3"/>
  <c r="L9" i="3"/>
  <c r="I9" i="3"/>
  <c r="F9" i="3"/>
  <c r="C9" i="3"/>
  <c r="CR8" i="3"/>
  <c r="CO8" i="3"/>
  <c r="CL8" i="3"/>
  <c r="CI8" i="3"/>
  <c r="CF8" i="3"/>
  <c r="CC8" i="3"/>
  <c r="BZ8" i="3"/>
  <c r="BT8" i="3"/>
  <c r="BQ8" i="3"/>
  <c r="BN8" i="3"/>
  <c r="BK8" i="3"/>
  <c r="BB8" i="3"/>
  <c r="AY8" i="3"/>
  <c r="AV8" i="3"/>
  <c r="AS8" i="3"/>
  <c r="AP8" i="3"/>
  <c r="AM8" i="3"/>
  <c r="AJ8" i="3"/>
  <c r="AG8" i="3"/>
  <c r="AD8" i="3"/>
  <c r="AA8" i="3"/>
  <c r="X8" i="3"/>
  <c r="R8" i="3"/>
  <c r="O8" i="3"/>
  <c r="L8" i="3"/>
  <c r="I8" i="3"/>
  <c r="F8" i="3"/>
  <c r="C8" i="3"/>
  <c r="CR7" i="3"/>
  <c r="CO7" i="3"/>
  <c r="CL7" i="3"/>
  <c r="CI7" i="3"/>
  <c r="CF7" i="3"/>
  <c r="CC7" i="3"/>
  <c r="BZ7" i="3"/>
  <c r="BT7" i="3"/>
  <c r="BQ7" i="3"/>
  <c r="BN7" i="3"/>
  <c r="BK7" i="3"/>
  <c r="BB7" i="3"/>
  <c r="AY7" i="3"/>
  <c r="AV7" i="3"/>
  <c r="AS7" i="3"/>
  <c r="AP7" i="3"/>
  <c r="AM7" i="3"/>
  <c r="AJ7" i="3"/>
  <c r="AG7" i="3"/>
  <c r="AD7" i="3"/>
  <c r="AA7" i="3"/>
  <c r="X7" i="3"/>
  <c r="R7" i="3"/>
  <c r="O7" i="3"/>
  <c r="L7" i="3"/>
  <c r="I7" i="3"/>
  <c r="F7" i="3"/>
  <c r="C7" i="3"/>
  <c r="CR6" i="3"/>
  <c r="CO6" i="3"/>
  <c r="CL6" i="3"/>
  <c r="CI6" i="3"/>
  <c r="CF6" i="3"/>
  <c r="CC6" i="3"/>
  <c r="BZ6" i="3"/>
  <c r="BT6" i="3"/>
  <c r="BQ6" i="3"/>
  <c r="BN6" i="3"/>
  <c r="BK6" i="3"/>
  <c r="BB6" i="3"/>
  <c r="AY6" i="3"/>
  <c r="AV6" i="3"/>
  <c r="AS6" i="3"/>
  <c r="AP6" i="3"/>
  <c r="AM6" i="3"/>
  <c r="AJ6" i="3"/>
  <c r="AG6" i="3"/>
  <c r="AD6" i="3"/>
  <c r="AA6" i="3"/>
  <c r="X6" i="3"/>
  <c r="R6" i="3"/>
  <c r="O6" i="3"/>
  <c r="L6" i="3"/>
  <c r="I6" i="3"/>
  <c r="F6" i="3"/>
  <c r="C6" i="3"/>
  <c r="CR5" i="3"/>
  <c r="CO5" i="3"/>
  <c r="CL5" i="3"/>
  <c r="CI5" i="3"/>
  <c r="CF5" i="3"/>
  <c r="CC5" i="3"/>
  <c r="BZ5" i="3"/>
  <c r="BT5" i="3"/>
  <c r="BQ5" i="3"/>
  <c r="BN5" i="3"/>
  <c r="BK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BN73" i="11" l="1"/>
  <c r="BN100" i="10"/>
  <c r="BN81" i="9"/>
  <c r="BO81" i="9"/>
  <c r="BO70" i="11"/>
  <c r="BO94" i="10"/>
  <c r="BN82" i="9"/>
  <c r="BO78" i="9"/>
  <c r="BO82" i="9"/>
  <c r="D25" i="8"/>
  <c r="AG25" i="8"/>
  <c r="B25" i="7"/>
  <c r="C25" i="7"/>
  <c r="B25" i="8"/>
  <c r="AF25" i="8"/>
  <c r="K25" i="7"/>
  <c r="J25" i="7"/>
  <c r="P25" i="8"/>
  <c r="S25" i="8"/>
  <c r="G25" i="8"/>
  <c r="N25" i="8"/>
  <c r="C25" i="8"/>
  <c r="K25" i="8"/>
  <c r="R25" i="8"/>
  <c r="W25" i="8"/>
  <c r="AD25" i="8"/>
  <c r="Z25" i="8"/>
  <c r="Y25" i="8"/>
  <c r="V25" i="8"/>
  <c r="T25" i="8"/>
  <c r="H25" i="8"/>
  <c r="E25" i="8"/>
  <c r="AE25" i="8"/>
  <c r="AC25" i="8"/>
  <c r="AB25" i="8"/>
  <c r="AA25" i="8"/>
  <c r="X25" i="8"/>
  <c r="Q25" i="8"/>
  <c r="O25" i="8"/>
  <c r="M25" i="8"/>
  <c r="L25" i="8"/>
  <c r="J25" i="8"/>
  <c r="AH14" i="8"/>
  <c r="AH24" i="8"/>
  <c r="F25" i="8"/>
  <c r="AH21" i="8"/>
  <c r="AH25" i="8" l="1"/>
  <c r="B15" i="6"/>
  <c r="B12" i="6"/>
  <c r="AH15" i="18"/>
  <c r="AH13" i="18"/>
  <c r="AH12" i="18"/>
  <c r="AH11" i="18"/>
  <c r="AH10" i="18"/>
  <c r="AH9" i="18"/>
  <c r="AH8" i="18"/>
  <c r="AH7" i="18"/>
  <c r="AH6" i="18"/>
  <c r="AH5" i="18"/>
  <c r="AH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H14" i="17"/>
  <c r="AH13" i="17"/>
  <c r="AH12" i="17"/>
  <c r="AH11" i="17"/>
  <c r="AH10" i="17"/>
  <c r="AH9" i="17"/>
  <c r="AH8" i="17"/>
  <c r="AH7" i="17"/>
  <c r="AH6" i="17"/>
  <c r="AH5" i="17"/>
  <c r="AH4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H31" i="15"/>
  <c r="AH30" i="15"/>
  <c r="AH27" i="15"/>
  <c r="AH26" i="15"/>
  <c r="AH25" i="15"/>
  <c r="AH24" i="15"/>
  <c r="AH23" i="15"/>
  <c r="AH22" i="15"/>
  <c r="AH21" i="15"/>
  <c r="AH18" i="15"/>
  <c r="AH17" i="15"/>
  <c r="AH16" i="15"/>
  <c r="AH15" i="15"/>
  <c r="AH14" i="15"/>
  <c r="AH11" i="15"/>
  <c r="AH10" i="15"/>
  <c r="AH9" i="15"/>
  <c r="AH8" i="15"/>
  <c r="AH7" i="15"/>
  <c r="AH6" i="15"/>
  <c r="AH5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C32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H11" i="13"/>
  <c r="AH10" i="13"/>
  <c r="AH8" i="13"/>
  <c r="AH7" i="13"/>
  <c r="AH6" i="13"/>
  <c r="AH5" i="13"/>
  <c r="AH4" i="13"/>
  <c r="AG9" i="13"/>
  <c r="AF9" i="13"/>
  <c r="AE9" i="13"/>
  <c r="AD9" i="13"/>
  <c r="AC9" i="13"/>
  <c r="AB9" i="13"/>
  <c r="AA9" i="13"/>
  <c r="Z9" i="13"/>
  <c r="Y9" i="13"/>
  <c r="X9" i="13"/>
  <c r="W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H32" i="15" l="1"/>
  <c r="AH19" i="15"/>
  <c r="AH28" i="15"/>
  <c r="AH12" i="15"/>
  <c r="AH14" i="18"/>
  <c r="AH15" i="17"/>
  <c r="AH9" i="13"/>
  <c r="BL7" i="1"/>
  <c r="BJ7" i="1"/>
  <c r="BF7" i="1"/>
  <c r="BD7" i="1"/>
  <c r="BB7" i="1"/>
  <c r="AZ7" i="1"/>
  <c r="AX7" i="1"/>
  <c r="AV7" i="1"/>
  <c r="AT7" i="1"/>
  <c r="AR7" i="1"/>
  <c r="AP7" i="1"/>
  <c r="AJ7" i="1"/>
  <c r="AH7" i="1"/>
  <c r="AF7" i="1"/>
  <c r="AD7" i="1"/>
  <c r="AB7" i="1"/>
  <c r="Z7" i="1"/>
  <c r="X7" i="1"/>
  <c r="T7" i="1"/>
  <c r="R7" i="1"/>
  <c r="P7" i="1"/>
  <c r="N7" i="1"/>
  <c r="L7" i="1"/>
  <c r="B7" i="1"/>
  <c r="BL15" i="1" l="1"/>
  <c r="BJ15" i="1"/>
  <c r="BF15" i="1"/>
  <c r="BD15" i="1"/>
  <c r="BB15" i="1"/>
  <c r="AZ15" i="1"/>
  <c r="AX15" i="1"/>
  <c r="AV15" i="1"/>
  <c r="AT15" i="1"/>
  <c r="AR15" i="1"/>
  <c r="AP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B15" i="1"/>
  <c r="BL13" i="1"/>
  <c r="BJ13" i="1"/>
  <c r="BF13" i="1"/>
  <c r="BD13" i="1"/>
  <c r="BB13" i="1"/>
  <c r="AZ13" i="1"/>
  <c r="AX13" i="1"/>
  <c r="AV13" i="1"/>
  <c r="AT13" i="1"/>
  <c r="AR13" i="1"/>
  <c r="AP13" i="1"/>
  <c r="AN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B13" i="1"/>
  <c r="AO7" i="1" l="1"/>
  <c r="AO15" i="1"/>
  <c r="AN7" i="1"/>
  <c r="AN15" i="1"/>
  <c r="BH8" i="3"/>
  <c r="BH5" i="3"/>
  <c r="BH7" i="3"/>
  <c r="BH6" i="3"/>
  <c r="BH10" i="3"/>
  <c r="BH14" i="3"/>
  <c r="BH13" i="3"/>
  <c r="BH12" i="3"/>
  <c r="BE6" i="3" l="1"/>
  <c r="BE7" i="3"/>
  <c r="BE8" i="3"/>
  <c r="BE5" i="3"/>
  <c r="BE10" i="3"/>
  <c r="BV15" i="6"/>
  <c r="BV12" i="6"/>
  <c r="AM7" i="1" l="1"/>
  <c r="BO7" i="1" s="1"/>
  <c r="AL7" i="1"/>
  <c r="BN7" i="1" s="1"/>
  <c r="AL15" i="1"/>
  <c r="BN15" i="1" s="1"/>
  <c r="AL13" i="1"/>
  <c r="BN13" i="1" s="1"/>
  <c r="AM13" i="1"/>
  <c r="BO13" i="1" s="1"/>
  <c r="AM15" i="1"/>
  <c r="BO15" i="1" s="1"/>
  <c r="AL15" i="7" l="1"/>
  <c r="BN15" i="7" s="1"/>
  <c r="AM15" i="7"/>
  <c r="BO15" i="7" s="1"/>
  <c r="AL21" i="7"/>
  <c r="BN21" i="7" s="1"/>
  <c r="AL23" i="7"/>
  <c r="BN23" i="7" s="1"/>
  <c r="AM21" i="7"/>
  <c r="BO21" i="7" s="1"/>
  <c r="AM23" i="7"/>
  <c r="BO23" i="7" s="1"/>
  <c r="AM25" i="7" l="1"/>
  <c r="BO25" i="7" s="1"/>
  <c r="AL25" i="7"/>
  <c r="BN25" i="7" s="1"/>
  <c r="T9" i="8"/>
  <c r="AH9" i="8" s="1"/>
  <c r="AH10" i="8"/>
  <c r="BE12" i="3"/>
  <c r="BE13" i="3"/>
  <c r="BE14" i="3"/>
</calcChain>
</file>

<file path=xl/sharedStrings.xml><?xml version="1.0" encoding="utf-8"?>
<sst xmlns="http://schemas.openxmlformats.org/spreadsheetml/2006/main" count="4825" uniqueCount="316">
  <si>
    <t>Particulars</t>
  </si>
  <si>
    <t>Acko</t>
  </si>
  <si>
    <t>AICL</t>
  </si>
  <si>
    <t>Bajaj Allianz</t>
  </si>
  <si>
    <t>Bharti Axa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</si>
  <si>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</si>
  <si>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</si>
  <si>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</si>
  <si>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</si>
  <si>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</si>
  <si>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</si>
  <si>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</si>
  <si>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</si>
  <si>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</si>
  <si>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</si>
  <si>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</si>
  <si>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</si>
  <si>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</si>
  <si>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</si>
  <si>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</si>
  <si>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</si>
  <si>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</si>
  <si>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</si>
  <si>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</si>
  <si>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</si>
  <si>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</si>
  <si>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</si>
  <si>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</si>
  <si>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</si>
  <si>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</si>
  <si>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</si>
  <si>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</si>
  <si>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</si>
  <si>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</si>
  <si>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</si>
  <si>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</si>
  <si>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</si>
  <si>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</si>
  <si>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</si>
  <si>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</si>
  <si>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</si>
  <si>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</si>
  <si>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</si>
  <si>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</si>
  <si>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</si>
  <si>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</si>
  <si>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</si>
  <si>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</si>
  <si>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</si>
  <si>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</si>
  <si>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</si>
  <si>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</si>
  <si>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</si>
  <si>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</si>
  <si>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</si>
  <si>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</si>
  <si>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</si>
  <si>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</si>
  <si>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</si>
  <si>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</si>
  <si>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</si>
  <si>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</si>
  <si>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</si>
  <si>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</si>
  <si>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</si>
  <si>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</si>
  <si>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</si>
  <si>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</si>
  <si>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</si>
  <si>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</si>
  <si>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</si>
  <si>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</si>
  <si>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</si>
  <si>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</si>
  <si>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</si>
  <si>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</si>
  <si>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</si>
  <si>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</si>
  <si>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</si>
  <si>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</si>
  <si>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</si>
  <si>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</si>
  <si>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</si>
  <si>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</si>
  <si>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</si>
  <si>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</si>
  <si>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</si>
  <si>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</si>
  <si>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</si>
  <si>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</si>
  <si>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</si>
  <si>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</si>
  <si>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</si>
  <si>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</si>
  <si>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</si>
  <si>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</si>
  <si>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</si>
  <si>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</si>
  <si>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</si>
  <si>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</si>
  <si>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</si>
  <si>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</si>
  <si>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</si>
  <si>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</si>
  <si>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</si>
  <si>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</si>
  <si>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</si>
  <si>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</si>
  <si>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</si>
  <si>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</si>
  <si>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</si>
  <si>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</si>
  <si>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</si>
  <si>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</si>
  <si>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</si>
  <si>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</si>
  <si>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</si>
  <si>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</si>
  <si>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</si>
  <si>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</si>
  <si>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</si>
  <si>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</si>
  <si>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</si>
  <si>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</si>
  <si>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</si>
  <si>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</si>
  <si>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</si>
  <si>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</si>
  <si>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</si>
  <si>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</si>
  <si>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</si>
  <si>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</si>
  <si>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</si>
  <si>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</si>
  <si>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</si>
  <si>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</si>
  <si>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</si>
  <si>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</si>
  <si>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</si>
  <si>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</si>
  <si>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</si>
  <si>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</si>
  <si>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</si>
  <si>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</si>
  <si>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</si>
  <si>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</si>
  <si>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</si>
  <si>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</si>
  <si>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</si>
  <si>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</si>
  <si>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</si>
  <si>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</si>
  <si>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</si>
  <si>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</si>
  <si>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</si>
  <si>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</si>
  <si>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</si>
  <si>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</si>
  <si>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</si>
  <si>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</si>
  <si>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</si>
  <si>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</si>
  <si>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</si>
  <si>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</si>
  <si>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</si>
  <si>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</si>
  <si>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</si>
  <si>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</si>
  <si>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</si>
  <si>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</si>
  <si>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</si>
  <si>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</si>
  <si>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</si>
  <si>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</si>
  <si>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</si>
  <si>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</si>
  <si>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</si>
  <si>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</si>
  <si>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</si>
  <si>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</si>
  <si>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</si>
  <si>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</si>
  <si>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</si>
  <si>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</si>
  <si>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</si>
  <si>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</si>
  <si>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</si>
  <si>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</si>
  <si>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</si>
  <si>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</si>
  <si>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</si>
  <si>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</si>
  <si>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</si>
  <si>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</si>
  <si>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</si>
  <si>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</si>
  <si>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</si>
  <si>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</si>
  <si>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</si>
  <si>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</si>
  <si>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</si>
  <si>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</si>
  <si>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</si>
  <si>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</si>
  <si>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</si>
  <si>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</si>
  <si>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</si>
  <si>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</si>
  <si>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</si>
  <si>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</si>
  <si>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</si>
  <si>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</si>
  <si>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</si>
  <si>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</si>
  <si>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</si>
  <si>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</si>
  <si>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</si>
  <si>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</si>
  <si>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</si>
  <si>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</si>
  <si>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</si>
  <si>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</si>
  <si>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</si>
  <si>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</si>
  <si>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</si>
  <si>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</si>
  <si>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</si>
  <si>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</si>
  <si>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</si>
  <si>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</si>
  <si>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</si>
  <si>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</si>
  <si>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</si>
  <si>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</si>
  <si>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</si>
  <si>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</si>
  <si>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</si>
  <si>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</si>
  <si>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</si>
  <si>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</si>
  <si>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</si>
  <si>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</si>
  <si>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</si>
  <si>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</si>
  <si>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</si>
  <si>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</si>
  <si>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</si>
  <si>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</si>
  <si>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</si>
  <si>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</si>
  <si>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</si>
  <si>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</si>
  <si>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</si>
  <si>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</si>
  <si>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</si>
  <si>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</si>
  <si>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</si>
  <si>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</si>
  <si>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</si>
  <si>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</si>
  <si>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</si>
  <si>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</si>
  <si>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</si>
  <si>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</si>
  <si>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</si>
  <si>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</si>
  <si>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</si>
  <si>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</si>
  <si>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</si>
  <si>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</si>
  <si>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</si>
  <si>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</si>
  <si>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</si>
  <si>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</si>
  <si>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</si>
  <si>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</si>
  <si>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</si>
  <si>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</si>
  <si>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</si>
  <si>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</si>
  <si>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 xml:space="preserve">NL-2 Profit and Loss Account </t>
  </si>
  <si>
    <t>Gross Incurred Claims</t>
  </si>
  <si>
    <t>Aditya Birla Health</t>
  </si>
  <si>
    <t>Cholamandalam MS</t>
  </si>
  <si>
    <t>GoDigit</t>
  </si>
  <si>
    <t>Manipal Cigna Health</t>
  </si>
  <si>
    <t>Navi</t>
  </si>
  <si>
    <t>Raheja QBE</t>
  </si>
  <si>
    <t>The New India Assurance</t>
  </si>
  <si>
    <t>The Oriental</t>
  </si>
  <si>
    <t>Max Bupa Health</t>
  </si>
  <si>
    <t>Reliance</t>
  </si>
  <si>
    <t>(h) Investment properties - Real Estate</t>
  </si>
  <si>
    <t>For Q3 2020-21</t>
  </si>
  <si>
    <t>Upto 9 months 2020-21</t>
  </si>
  <si>
    <t>NL-3 Balance Sheet as at 31 December 2020</t>
  </si>
  <si>
    <t>NL-10 Reserves and Surplus as at 31 December 2020</t>
  </si>
  <si>
    <t>NL-12 Investments as at 31 December 2020</t>
  </si>
  <si>
    <t>NL-13 Loans as at 31 December 2020</t>
  </si>
  <si>
    <t>NL-14 Fixed Assets. Net Block as at 31 December 2020</t>
  </si>
  <si>
    <t>NL-15 Cash and Bank Balance as at 31 December 2020</t>
  </si>
  <si>
    <t>NL-17 Current Liabilities as at 31 December 2020</t>
  </si>
  <si>
    <t>NL-25 Quarterly Claims Data (Q3)</t>
  </si>
  <si>
    <t>NL-33 Solvency Margin KGII for the period ended 31 December 2020</t>
  </si>
  <si>
    <t>Kotak</t>
  </si>
  <si>
    <t>Care Health</t>
  </si>
  <si>
    <t xml:space="preserve">1.08 Times </t>
  </si>
  <si>
    <t xml:space="preserve">2.88 Times </t>
  </si>
  <si>
    <t xml:space="preserve">2.59 Times </t>
  </si>
  <si>
    <t>(0.22) Times</t>
  </si>
  <si>
    <t>0.56 Times</t>
  </si>
  <si>
    <t xml:space="preserve">1.65 Times </t>
  </si>
  <si>
    <t xml:space="preserve">0.98 Times </t>
  </si>
  <si>
    <t>(0.12) Times</t>
  </si>
  <si>
    <t xml:space="preserve">Kotak </t>
  </si>
  <si>
    <t>10,91,802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</si>
</sst>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0" borderId="0"/>
    <xf numFmtId="165" fontId="11" fillId="0" borderId="0" applyFill="0" applyBorder="0" applyAlignment="0" applyProtection="0"/>
    <xf numFmtId="0" fontId="13" fillId="0" borderId="0"/>
  </cellStyleXfs>
  <cellXfs count="118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66" fontId="0" fillId="0" borderId="1" xfId="1" applyNumberFormat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9" fontId="0" fillId="0" borderId="0" xfId="1" applyFont="1"/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1" fillId="0" borderId="1" xfId="0" applyNumberFormat="1" applyFont="1" applyFill="1" applyBorder="1" applyAlignment="1">
      <alignment horizontal="left"/>
    </xf>
    <xf numFmtId="10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14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/>
    <xf numFmtId="1" fontId="12" fillId="0" borderId="1" xfId="0" applyNumberFormat="1" applyFont="1" applyFill="1" applyBorder="1"/>
    <xf numFmtId="1" fontId="15" fillId="0" borderId="1" xfId="0" applyNumberFormat="1" applyFont="1" applyBorder="1"/>
    <xf numFmtId="2" fontId="2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9" fontId="0" fillId="0" borderId="1" xfId="0" applyNumberFormat="1" applyBorder="1" applyAlignment="1">
      <alignment horizontal="right"/>
    </xf>
    <xf numFmtId="1" fontId="0" fillId="0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</cellXfs>
  <cellStyles count="7">
    <cellStyle name="Comma 2" xfId="3"/>
    <cellStyle name="Comma 3" xfId="5"/>
    <cellStyle name="Currency" xfId="2" builtinId="4"/>
    <cellStyle name="Excel Built-in Normal" xfId="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65" width="16" style="76" customWidth="1"/>
    <col min="66" max="66" width="16" style="35" customWidth="1"/>
    <col min="67" max="67" width="16" style="7" customWidth="1"/>
    <col min="68" max="16384" width="9.140625" style="76"/>
  </cols>
  <sheetData>
    <row r="1" spans="1:67" ht="18.75" x14ac:dyDescent="0.3">
      <c r="A1" s="4" t="s">
        <v>33</v>
      </c>
    </row>
    <row r="2" spans="1:67" x14ac:dyDescent="0.25">
      <c r="A2" s="5" t="s">
        <v>34</v>
      </c>
    </row>
    <row r="3" spans="1:67" x14ac:dyDescent="0.25">
      <c r="A3" s="1" t="s">
        <v>0</v>
      </c>
      <c r="B3" s="103" t="s">
        <v>1</v>
      </c>
      <c r="C3" s="104"/>
      <c r="D3" s="103" t="s">
        <v>282</v>
      </c>
      <c r="E3" s="104"/>
      <c r="F3" s="103" t="s">
        <v>2</v>
      </c>
      <c r="G3" s="104"/>
      <c r="H3" s="103" t="s">
        <v>3</v>
      </c>
      <c r="I3" s="104"/>
      <c r="J3" s="103" t="s">
        <v>4</v>
      </c>
      <c r="K3" s="104"/>
      <c r="L3" s="103" t="s">
        <v>283</v>
      </c>
      <c r="M3" s="104"/>
      <c r="N3" s="103" t="s">
        <v>6</v>
      </c>
      <c r="O3" s="104"/>
      <c r="P3" s="103" t="s">
        <v>5</v>
      </c>
      <c r="Q3" s="104"/>
      <c r="R3" s="103" t="s">
        <v>7</v>
      </c>
      <c r="S3" s="104"/>
      <c r="T3" s="103" t="s">
        <v>284</v>
      </c>
      <c r="U3" s="104"/>
      <c r="V3" s="103" t="s">
        <v>8</v>
      </c>
      <c r="W3" s="104"/>
      <c r="X3" s="103" t="s">
        <v>9</v>
      </c>
      <c r="Y3" s="104"/>
      <c r="Z3" s="103" t="s">
        <v>10</v>
      </c>
      <c r="AA3" s="104"/>
      <c r="AB3" s="103" t="s">
        <v>304</v>
      </c>
      <c r="AC3" s="104"/>
      <c r="AD3" s="103" t="s">
        <v>11</v>
      </c>
      <c r="AE3" s="104"/>
      <c r="AF3" s="103" t="s">
        <v>12</v>
      </c>
      <c r="AG3" s="104"/>
      <c r="AH3" s="103" t="s">
        <v>285</v>
      </c>
      <c r="AI3" s="104"/>
      <c r="AJ3" s="103" t="s">
        <v>290</v>
      </c>
      <c r="AK3" s="104"/>
      <c r="AL3" s="103" t="s">
        <v>13</v>
      </c>
      <c r="AM3" s="104"/>
      <c r="AN3" s="103" t="s">
        <v>286</v>
      </c>
      <c r="AO3" s="104"/>
      <c r="AP3" s="103" t="s">
        <v>287</v>
      </c>
      <c r="AQ3" s="104"/>
      <c r="AR3" s="103" t="s">
        <v>291</v>
      </c>
      <c r="AS3" s="104"/>
      <c r="AT3" s="103" t="s">
        <v>305</v>
      </c>
      <c r="AU3" s="104"/>
      <c r="AV3" s="103" t="s">
        <v>14</v>
      </c>
      <c r="AW3" s="104"/>
      <c r="AX3" s="103" t="s">
        <v>15</v>
      </c>
      <c r="AY3" s="104"/>
      <c r="AZ3" s="103" t="s">
        <v>16</v>
      </c>
      <c r="BA3" s="104"/>
      <c r="BB3" s="103" t="s">
        <v>17</v>
      </c>
      <c r="BC3" s="104"/>
      <c r="BD3" s="103" t="s">
        <v>18</v>
      </c>
      <c r="BE3" s="104"/>
      <c r="BF3" s="103" t="s">
        <v>288</v>
      </c>
      <c r="BG3" s="104"/>
      <c r="BH3" s="103" t="s">
        <v>289</v>
      </c>
      <c r="BI3" s="104"/>
      <c r="BJ3" s="103" t="s">
        <v>19</v>
      </c>
      <c r="BK3" s="104"/>
      <c r="BL3" s="103" t="s">
        <v>20</v>
      </c>
      <c r="BM3" s="104"/>
      <c r="BN3" s="105" t="s">
        <v>21</v>
      </c>
      <c r="BO3" s="106"/>
    </row>
    <row r="4" spans="1:67" s="59" customFormat="1" ht="30" x14ac:dyDescent="0.25">
      <c r="A4" s="56"/>
      <c r="B4" s="57" t="s">
        <v>293</v>
      </c>
      <c r="C4" s="58" t="s">
        <v>294</v>
      </c>
      <c r="D4" s="57" t="s">
        <v>293</v>
      </c>
      <c r="E4" s="58" t="s">
        <v>294</v>
      </c>
      <c r="F4" s="57" t="s">
        <v>293</v>
      </c>
      <c r="G4" s="58" t="s">
        <v>294</v>
      </c>
      <c r="H4" s="57" t="s">
        <v>293</v>
      </c>
      <c r="I4" s="58" t="s">
        <v>294</v>
      </c>
      <c r="J4" s="57" t="s">
        <v>293</v>
      </c>
      <c r="K4" s="58" t="s">
        <v>294</v>
      </c>
      <c r="L4" s="57" t="s">
        <v>293</v>
      </c>
      <c r="M4" s="58" t="s">
        <v>294</v>
      </c>
      <c r="N4" s="57" t="s">
        <v>293</v>
      </c>
      <c r="O4" s="58" t="s">
        <v>294</v>
      </c>
      <c r="P4" s="57" t="s">
        <v>293</v>
      </c>
      <c r="Q4" s="58" t="s">
        <v>294</v>
      </c>
      <c r="R4" s="57" t="s">
        <v>293</v>
      </c>
      <c r="S4" s="58" t="s">
        <v>294</v>
      </c>
      <c r="T4" s="57" t="s">
        <v>293</v>
      </c>
      <c r="U4" s="58" t="s">
        <v>294</v>
      </c>
      <c r="V4" s="57" t="s">
        <v>293</v>
      </c>
      <c r="W4" s="58" t="s">
        <v>294</v>
      </c>
      <c r="X4" s="57" t="s">
        <v>293</v>
      </c>
      <c r="Y4" s="58" t="s">
        <v>294</v>
      </c>
      <c r="Z4" s="57" t="s">
        <v>293</v>
      </c>
      <c r="AA4" s="58" t="s">
        <v>294</v>
      </c>
      <c r="AB4" s="57" t="s">
        <v>293</v>
      </c>
      <c r="AC4" s="58" t="s">
        <v>294</v>
      </c>
      <c r="AD4" s="57" t="s">
        <v>293</v>
      </c>
      <c r="AE4" s="58" t="s">
        <v>294</v>
      </c>
      <c r="AF4" s="57" t="s">
        <v>293</v>
      </c>
      <c r="AG4" s="58" t="s">
        <v>294</v>
      </c>
      <c r="AH4" s="57" t="s">
        <v>293</v>
      </c>
      <c r="AI4" s="58" t="s">
        <v>294</v>
      </c>
      <c r="AJ4" s="57" t="s">
        <v>293</v>
      </c>
      <c r="AK4" s="58" t="s">
        <v>294</v>
      </c>
      <c r="AL4" s="57" t="s">
        <v>293</v>
      </c>
      <c r="AM4" s="58" t="s">
        <v>294</v>
      </c>
      <c r="AN4" s="57" t="s">
        <v>293</v>
      </c>
      <c r="AO4" s="58" t="s">
        <v>294</v>
      </c>
      <c r="AP4" s="57" t="s">
        <v>293</v>
      </c>
      <c r="AQ4" s="58" t="s">
        <v>294</v>
      </c>
      <c r="AR4" s="57" t="s">
        <v>293</v>
      </c>
      <c r="AS4" s="58" t="s">
        <v>294</v>
      </c>
      <c r="AT4" s="57" t="s">
        <v>293</v>
      </c>
      <c r="AU4" s="58" t="s">
        <v>294</v>
      </c>
      <c r="AV4" s="57" t="s">
        <v>293</v>
      </c>
      <c r="AW4" s="58" t="s">
        <v>294</v>
      </c>
      <c r="AX4" s="57" t="s">
        <v>293</v>
      </c>
      <c r="AY4" s="58" t="s">
        <v>294</v>
      </c>
      <c r="AZ4" s="57" t="s">
        <v>293</v>
      </c>
      <c r="BA4" s="58" t="s">
        <v>294</v>
      </c>
      <c r="BB4" s="57" t="s">
        <v>293</v>
      </c>
      <c r="BC4" s="58" t="s">
        <v>294</v>
      </c>
      <c r="BD4" s="57" t="s">
        <v>293</v>
      </c>
      <c r="BE4" s="58" t="s">
        <v>294</v>
      </c>
      <c r="BF4" s="57" t="s">
        <v>293</v>
      </c>
      <c r="BG4" s="58" t="s">
        <v>294</v>
      </c>
      <c r="BH4" s="57" t="s">
        <v>293</v>
      </c>
      <c r="BI4" s="58" t="s">
        <v>294</v>
      </c>
      <c r="BJ4" s="57" t="s">
        <v>293</v>
      </c>
      <c r="BK4" s="58" t="s">
        <v>294</v>
      </c>
      <c r="BL4" s="57" t="s">
        <v>293</v>
      </c>
      <c r="BM4" s="58" t="s">
        <v>294</v>
      </c>
      <c r="BN4" s="57" t="s">
        <v>293</v>
      </c>
      <c r="BO4" s="58" t="s">
        <v>294</v>
      </c>
    </row>
    <row r="5" spans="1:67" x14ac:dyDescent="0.25">
      <c r="A5" s="2" t="s">
        <v>22</v>
      </c>
      <c r="B5" s="84">
        <v>508013</v>
      </c>
      <c r="C5" s="84">
        <v>1177698</v>
      </c>
      <c r="D5" s="84">
        <v>2105454</v>
      </c>
      <c r="E5" s="84">
        <v>5404770</v>
      </c>
      <c r="F5" s="84">
        <v>25043051</v>
      </c>
      <c r="G5" s="84">
        <v>54065676</v>
      </c>
      <c r="H5" s="84">
        <v>18380849</v>
      </c>
      <c r="I5" s="84">
        <v>56417746</v>
      </c>
      <c r="J5" s="84">
        <v>5126032</v>
      </c>
      <c r="K5" s="84">
        <v>13935121</v>
      </c>
      <c r="L5" s="84">
        <f>63673+287628+7534169</f>
        <v>7885470</v>
      </c>
      <c r="M5" s="84">
        <f>169334+856724+22809195</f>
        <v>23835253</v>
      </c>
      <c r="N5" s="84">
        <v>2191845.4900000002</v>
      </c>
      <c r="O5" s="84">
        <v>5783858.5899999999</v>
      </c>
      <c r="P5" s="84">
        <v>448418</v>
      </c>
      <c r="Q5" s="84">
        <v>1201520</v>
      </c>
      <c r="R5" s="84">
        <v>6063416</v>
      </c>
      <c r="S5" s="84">
        <v>16094201</v>
      </c>
      <c r="T5" s="84">
        <v>5401865</v>
      </c>
      <c r="U5" s="84">
        <v>13703344</v>
      </c>
      <c r="V5" s="84">
        <v>16603136</v>
      </c>
      <c r="W5" s="84">
        <v>48312447</v>
      </c>
      <c r="X5" s="84">
        <v>26114113</v>
      </c>
      <c r="Y5" s="84">
        <v>73977746</v>
      </c>
      <c r="Z5" s="84">
        <f>185024+190208+12841481</f>
        <v>13216713</v>
      </c>
      <c r="AA5" s="84">
        <f>537130+592366+35000858</f>
        <v>36130354</v>
      </c>
      <c r="AB5" s="84">
        <v>1021163</v>
      </c>
      <c r="AC5" s="84">
        <v>2827665</v>
      </c>
      <c r="AD5" s="84">
        <f>59877+42741+2941004</f>
        <v>3043622</v>
      </c>
      <c r="AE5" s="84">
        <f>145310+135099+9064891</f>
        <v>9345300</v>
      </c>
      <c r="AF5" s="84">
        <v>1920762</v>
      </c>
      <c r="AG5" s="84">
        <v>5700620</v>
      </c>
      <c r="AH5" s="84">
        <v>1716202</v>
      </c>
      <c r="AI5" s="84">
        <v>4475558</v>
      </c>
      <c r="AJ5" s="84">
        <v>2835116</v>
      </c>
      <c r="AK5" s="84">
        <v>7647968</v>
      </c>
      <c r="AL5" s="84">
        <v>28678756.294218943</v>
      </c>
      <c r="AM5" s="84">
        <v>84407679.871564001</v>
      </c>
      <c r="AN5" s="84">
        <v>192405</v>
      </c>
      <c r="AO5" s="84">
        <v>690329</v>
      </c>
      <c r="AP5" s="84">
        <v>536847</v>
      </c>
      <c r="AQ5" s="84">
        <v>1273912</v>
      </c>
      <c r="AR5" s="84">
        <f>38416+542525+8517310</f>
        <v>9098251</v>
      </c>
      <c r="AS5" s="84">
        <f>134662+1688969+25530096</f>
        <v>27353727</v>
      </c>
      <c r="AT5" s="84">
        <v>4186623</v>
      </c>
      <c r="AU5" s="84">
        <v>11614364</v>
      </c>
      <c r="AV5" s="84">
        <f>54021+153854+5362982</f>
        <v>5570857</v>
      </c>
      <c r="AW5" s="84">
        <f>149102+395630+15467828</f>
        <v>16012560</v>
      </c>
      <c r="AX5" s="84">
        <v>7747324</v>
      </c>
      <c r="AY5" s="84">
        <v>25112259</v>
      </c>
      <c r="AZ5" s="84">
        <v>5299367</v>
      </c>
      <c r="BA5" s="84">
        <v>16401479</v>
      </c>
      <c r="BB5" s="84">
        <v>14196189</v>
      </c>
      <c r="BC5" s="84">
        <v>39628147</v>
      </c>
      <c r="BD5" s="84">
        <v>12756846</v>
      </c>
      <c r="BE5" s="84">
        <v>36001202</v>
      </c>
      <c r="BF5" s="84">
        <f>1240042+7156663+58469422</f>
        <v>66866127</v>
      </c>
      <c r="BG5" s="84">
        <f>3140098+21741398+167854278</f>
        <v>192735774</v>
      </c>
      <c r="BH5" s="84">
        <f>502521+1534729+26352828</f>
        <v>28390078</v>
      </c>
      <c r="BI5" s="84">
        <f>1556995+5826225+73396907</f>
        <v>80780127</v>
      </c>
      <c r="BJ5" s="84">
        <v>35917628</v>
      </c>
      <c r="BK5" s="84">
        <v>99016416</v>
      </c>
      <c r="BL5" s="84">
        <f>9714+158532+4485460</f>
        <v>4653706</v>
      </c>
      <c r="BM5" s="84">
        <f>27653+417850+11040623</f>
        <v>11486126</v>
      </c>
      <c r="BN5" s="72">
        <f>B5+D5+F5+H5+J5+L5+N5+P5+R5+T5+V5+X5+Z5+AB5+AD5+AF5+AH5+AJ5+AL5+AN5+AP5+AR5+AT5+AV5+AX5+AZ5+BB5+BD5+BF5+BH5+BJ5+BL5</f>
        <v>363716244.78421897</v>
      </c>
      <c r="BO5" s="72">
        <f>C5+E5+G5+I5+K5+M5+O5+Q5+S5+U5+W5+Y5+AA5+AC5+AE5+AG5+AI5+AK5+AM5+AO5+AQ5+AS5+AU5+AW5+AY5+BA5+BC5+BE5+BG5+BI5+BK5+BM5</f>
        <v>1022550947.4615641</v>
      </c>
    </row>
    <row r="6" spans="1:67" ht="30" x14ac:dyDescent="0.25">
      <c r="A6" s="2" t="s">
        <v>23</v>
      </c>
      <c r="B6" s="84">
        <v>11725</v>
      </c>
      <c r="C6" s="84">
        <v>36418</v>
      </c>
      <c r="D6" s="84">
        <v>67649</v>
      </c>
      <c r="E6" s="84">
        <v>96033</v>
      </c>
      <c r="F6" s="84">
        <v>-2013</v>
      </c>
      <c r="G6" s="84">
        <v>94258</v>
      </c>
      <c r="H6" s="84">
        <v>549653</v>
      </c>
      <c r="I6" s="84">
        <v>1525903</v>
      </c>
      <c r="J6" s="84">
        <v>164517</v>
      </c>
      <c r="K6" s="84">
        <v>396877</v>
      </c>
      <c r="L6" s="84">
        <f>692+13229+435428</f>
        <v>449349</v>
      </c>
      <c r="M6" s="84">
        <f>2826+38717+1058339</f>
        <v>1099882</v>
      </c>
      <c r="N6" s="84">
        <f>-260203.72+527129.74</f>
        <v>266926.02</v>
      </c>
      <c r="O6" s="84">
        <f>-260203.73+704980.44</f>
        <v>444776.70999999996</v>
      </c>
      <c r="P6" s="84">
        <v>19699</v>
      </c>
      <c r="Q6" s="84">
        <v>92614</v>
      </c>
      <c r="R6" s="84">
        <v>315463</v>
      </c>
      <c r="S6" s="84">
        <v>395926</v>
      </c>
      <c r="T6" s="84">
        <v>24136</v>
      </c>
      <c r="U6" s="84">
        <v>60376</v>
      </c>
      <c r="V6" s="84">
        <v>368760</v>
      </c>
      <c r="W6" s="84">
        <v>800260</v>
      </c>
      <c r="X6" s="84">
        <v>848661</v>
      </c>
      <c r="Y6" s="84">
        <v>1724683</v>
      </c>
      <c r="Z6" s="84">
        <f>101+154+18228</f>
        <v>18483</v>
      </c>
      <c r="AA6" s="84">
        <f>4183+7352+377999</f>
        <v>389534</v>
      </c>
      <c r="AB6" s="84">
        <v>30945</v>
      </c>
      <c r="AC6" s="84">
        <v>114628</v>
      </c>
      <c r="AD6" s="84">
        <f>248+246+14597</f>
        <v>15091</v>
      </c>
      <c r="AE6" s="84">
        <f>1129+3902+51631</f>
        <v>56662</v>
      </c>
      <c r="AF6" s="84">
        <v>47270</v>
      </c>
      <c r="AG6" s="84">
        <v>291085</v>
      </c>
      <c r="AH6" s="84">
        <v>2613</v>
      </c>
      <c r="AI6" s="84">
        <v>31219</v>
      </c>
      <c r="AJ6" s="84">
        <v>3062</v>
      </c>
      <c r="AK6" s="84">
        <v>11776</v>
      </c>
      <c r="AL6" s="84">
        <v>4004683</v>
      </c>
      <c r="AM6" s="84">
        <v>7767624</v>
      </c>
      <c r="AN6" s="84">
        <v>9660</v>
      </c>
      <c r="AO6" s="84">
        <v>27654</v>
      </c>
      <c r="AP6" s="84">
        <v>2703</v>
      </c>
      <c r="AQ6" s="84">
        <v>14741</v>
      </c>
      <c r="AR6" s="84">
        <f>1066+12310+342439</f>
        <v>355815</v>
      </c>
      <c r="AS6" s="84">
        <f>4308+55853+1522410</f>
        <v>1582571</v>
      </c>
      <c r="AT6" s="84">
        <v>10877</v>
      </c>
      <c r="AU6" s="84">
        <v>11226</v>
      </c>
      <c r="AV6" s="84">
        <f>347+1298+78084</f>
        <v>79729</v>
      </c>
      <c r="AW6" s="84">
        <f>1832+9838+305773</f>
        <v>317443</v>
      </c>
      <c r="AX6" s="84">
        <v>113158</v>
      </c>
      <c r="AY6" s="84">
        <v>578755</v>
      </c>
      <c r="AZ6" s="84">
        <v>120646</v>
      </c>
      <c r="BA6" s="84">
        <v>680711</v>
      </c>
      <c r="BB6" s="84">
        <v>5456</v>
      </c>
      <c r="BC6" s="84">
        <v>8010</v>
      </c>
      <c r="BD6" s="84">
        <v>453703</v>
      </c>
      <c r="BE6" s="84">
        <v>1350487</v>
      </c>
      <c r="BF6" s="84">
        <f>141233+1059628+6844914</f>
        <v>8045775</v>
      </c>
      <c r="BG6" s="84">
        <f>196056+1470953+9501958</f>
        <v>11168967</v>
      </c>
      <c r="BH6" s="84">
        <f>51117+181442+2325120</f>
        <v>2557679</v>
      </c>
      <c r="BI6" s="84">
        <f>89860+367104+4368947</f>
        <v>4825911</v>
      </c>
      <c r="BJ6" s="84">
        <v>1142602</v>
      </c>
      <c r="BK6" s="84">
        <v>4578600</v>
      </c>
      <c r="BL6" s="84">
        <f>-204-6362-84970</f>
        <v>-91536</v>
      </c>
      <c r="BM6" s="84">
        <f>-113-3488-47479</f>
        <v>-51080</v>
      </c>
      <c r="BN6" s="72">
        <f t="shared" ref="BN6:BN15" si="0">B6+D6+F6+H6+J6+L6+N6+P6+R6+T6+V6+X6+Z6+AB6+AD6+AF6+AH6+AJ6+AL6+AN6+AP6+AR6+AT6+AV6+AX6+AZ6+BB6+BD6+BF6+BH6+BJ6+BL6</f>
        <v>20012939.02</v>
      </c>
      <c r="BO6" s="72">
        <f t="shared" ref="BO6:BO15" si="1">C6+E6+G6+I6+K6+M6+O6+Q6+S6+U6+W6+Y6+AA6+AC6+AE6+AG6+AI6+AK6+AM6+AO6+AQ6+AS6+AU6+AW6+AY6+BA6+BC6+BE6+BG6+BI6+BK6+BM6</f>
        <v>40524530.710000001</v>
      </c>
    </row>
    <row r="7" spans="1:67" x14ac:dyDescent="0.25">
      <c r="A7" s="2" t="s">
        <v>24</v>
      </c>
      <c r="B7" s="84">
        <f t="shared" ref="B7" si="2">B9-B8-B6-B5</f>
        <v>0</v>
      </c>
      <c r="C7" s="84">
        <f t="shared" ref="C7:K7" si="3">C9-C8-C6-C5</f>
        <v>0</v>
      </c>
      <c r="D7" s="84">
        <f t="shared" si="3"/>
        <v>-8591</v>
      </c>
      <c r="E7" s="84">
        <f t="shared" si="3"/>
        <v>-19562</v>
      </c>
      <c r="F7" s="84">
        <f t="shared" si="3"/>
        <v>103469</v>
      </c>
      <c r="G7" s="84">
        <f t="shared" si="3"/>
        <v>357245</v>
      </c>
      <c r="H7" s="84">
        <f t="shared" si="3"/>
        <v>108811</v>
      </c>
      <c r="I7" s="84">
        <f t="shared" si="3"/>
        <v>132526</v>
      </c>
      <c r="J7" s="84">
        <f t="shared" si="3"/>
        <v>-29792</v>
      </c>
      <c r="K7" s="84">
        <f t="shared" si="3"/>
        <v>-48334</v>
      </c>
      <c r="L7" s="84">
        <f t="shared" ref="L7:BM7" si="4">L9-L8-L6-L5</f>
        <v>556559</v>
      </c>
      <c r="M7" s="84">
        <f t="shared" si="4"/>
        <v>964630</v>
      </c>
      <c r="N7" s="84">
        <f t="shared" si="4"/>
        <v>2657.3799999994226</v>
      </c>
      <c r="O7" s="84">
        <f t="shared" si="4"/>
        <v>7283.3600000003353</v>
      </c>
      <c r="P7" s="84">
        <f t="shared" si="4"/>
        <v>1099</v>
      </c>
      <c r="Q7" s="84">
        <f t="shared" si="4"/>
        <v>2082</v>
      </c>
      <c r="R7" s="84">
        <f t="shared" si="4"/>
        <v>780</v>
      </c>
      <c r="S7" s="84">
        <f t="shared" si="4"/>
        <v>2850</v>
      </c>
      <c r="T7" s="84">
        <f t="shared" si="4"/>
        <v>-1</v>
      </c>
      <c r="U7" s="84">
        <f t="shared" si="4"/>
        <v>-17</v>
      </c>
      <c r="V7" s="84">
        <f t="shared" si="4"/>
        <v>39135</v>
      </c>
      <c r="W7" s="84">
        <f t="shared" si="4"/>
        <v>94583</v>
      </c>
      <c r="X7" s="84">
        <f t="shared" si="4"/>
        <v>56127</v>
      </c>
      <c r="Y7" s="84">
        <f t="shared" ref="Y7" si="5">Y9-Y8-Y6-Y5</f>
        <v>297655</v>
      </c>
      <c r="Z7" s="84">
        <f t="shared" si="4"/>
        <v>-1586</v>
      </c>
      <c r="AA7" s="84">
        <f t="shared" ref="AA7" si="6">AA9-AA8-AA6-AA5</f>
        <v>-8509</v>
      </c>
      <c r="AB7" s="84">
        <f t="shared" si="4"/>
        <v>190</v>
      </c>
      <c r="AC7" s="84">
        <f t="shared" ref="AC7" si="7">AC9-AC8-AC6-AC5</f>
        <v>578</v>
      </c>
      <c r="AD7" s="84">
        <f t="shared" si="4"/>
        <v>1</v>
      </c>
      <c r="AE7" s="84">
        <f t="shared" ref="AE7" si="8">AE9-AE8-AE6-AE5</f>
        <v>0</v>
      </c>
      <c r="AF7" s="84">
        <f t="shared" si="4"/>
        <v>28856</v>
      </c>
      <c r="AG7" s="84">
        <f t="shared" si="4"/>
        <v>70336</v>
      </c>
      <c r="AH7" s="84">
        <f t="shared" si="4"/>
        <v>0</v>
      </c>
      <c r="AI7" s="84">
        <f t="shared" si="4"/>
        <v>-196402</v>
      </c>
      <c r="AJ7" s="84">
        <f t="shared" si="4"/>
        <v>435632</v>
      </c>
      <c r="AK7" s="84">
        <f t="shared" si="4"/>
        <v>1057334</v>
      </c>
      <c r="AL7" s="84">
        <f t="shared" si="4"/>
        <v>0</v>
      </c>
      <c r="AM7" s="84">
        <f t="shared" ref="AM7" si="9">AM9-AM8-AM6-AM5</f>
        <v>0</v>
      </c>
      <c r="AN7" s="84">
        <f t="shared" si="4"/>
        <v>-7011</v>
      </c>
      <c r="AO7" s="84">
        <f t="shared" ref="AO7" si="10">AO9-AO8-AO6-AO5</f>
        <v>1014</v>
      </c>
      <c r="AP7" s="84">
        <f t="shared" si="4"/>
        <v>112220</v>
      </c>
      <c r="AQ7" s="84">
        <f t="shared" si="4"/>
        <v>328432</v>
      </c>
      <c r="AR7" s="84">
        <f t="shared" si="4"/>
        <v>956876</v>
      </c>
      <c r="AS7" s="84">
        <f t="shared" si="4"/>
        <v>1370515</v>
      </c>
      <c r="AT7" s="84">
        <f t="shared" si="4"/>
        <v>1</v>
      </c>
      <c r="AU7" s="84">
        <f t="shared" si="4"/>
        <v>0</v>
      </c>
      <c r="AV7" s="84">
        <f t="shared" si="4"/>
        <v>2283</v>
      </c>
      <c r="AW7" s="84">
        <f t="shared" si="4"/>
        <v>6637</v>
      </c>
      <c r="AX7" s="84">
        <f t="shared" si="4"/>
        <v>10248</v>
      </c>
      <c r="AY7" s="84">
        <f t="shared" si="4"/>
        <v>21925</v>
      </c>
      <c r="AZ7" s="84">
        <f t="shared" si="4"/>
        <v>-8879</v>
      </c>
      <c r="BA7" s="84">
        <f t="shared" ref="BA7" si="11">BA9-BA8-BA6-BA5</f>
        <v>-25057</v>
      </c>
      <c r="BB7" s="84">
        <f t="shared" si="4"/>
        <v>0</v>
      </c>
      <c r="BC7" s="84">
        <f t="shared" si="4"/>
        <v>0</v>
      </c>
      <c r="BD7" s="84">
        <f t="shared" si="4"/>
        <v>23977</v>
      </c>
      <c r="BE7" s="84">
        <f t="shared" ref="BE7" si="12">BE9-BE8-BE6-BE5</f>
        <v>58345</v>
      </c>
      <c r="BF7" s="84">
        <f t="shared" si="4"/>
        <v>0</v>
      </c>
      <c r="BG7" s="84">
        <f t="shared" si="4"/>
        <v>0</v>
      </c>
      <c r="BH7" s="84">
        <f t="shared" ref="BH7:BI7" si="13">BH9-BH8-BH6-BH5</f>
        <v>-119234</v>
      </c>
      <c r="BI7" s="84">
        <f t="shared" si="13"/>
        <v>-787327</v>
      </c>
      <c r="BJ7" s="84">
        <f t="shared" si="4"/>
        <v>3709</v>
      </c>
      <c r="BK7" s="84">
        <f t="shared" ref="BK7" si="14">BK9-BK8-BK6-BK5</f>
        <v>8053</v>
      </c>
      <c r="BL7" s="84">
        <f t="shared" si="4"/>
        <v>-53571</v>
      </c>
      <c r="BM7" s="84">
        <f t="shared" si="4"/>
        <v>-107452</v>
      </c>
      <c r="BN7" s="72">
        <f t="shared" si="0"/>
        <v>2213965.3799999994</v>
      </c>
      <c r="BO7" s="72">
        <f t="shared" si="1"/>
        <v>3589363.3600000003</v>
      </c>
    </row>
    <row r="8" spans="1:67" x14ac:dyDescent="0.25">
      <c r="A8" s="2" t="s">
        <v>25</v>
      </c>
      <c r="B8" s="84">
        <v>44624</v>
      </c>
      <c r="C8" s="84">
        <v>120276</v>
      </c>
      <c r="D8" s="76">
        <v>135792</v>
      </c>
      <c r="E8" s="84">
        <v>376948</v>
      </c>
      <c r="F8" s="84">
        <v>900628</v>
      </c>
      <c r="G8" s="84">
        <v>2913738</v>
      </c>
      <c r="H8" s="84">
        <v>2575621</v>
      </c>
      <c r="I8" s="84">
        <v>7679437</v>
      </c>
      <c r="J8" s="84">
        <v>868920</v>
      </c>
      <c r="K8" s="84">
        <v>2409276</v>
      </c>
      <c r="L8" s="84">
        <f>1750+40547+1434453</f>
        <v>1476750</v>
      </c>
      <c r="M8" s="84">
        <f>11182+153183+4187243</f>
        <v>4351608</v>
      </c>
      <c r="N8" s="84">
        <v>1249511.6100000001</v>
      </c>
      <c r="O8" s="84">
        <v>3700100.16</v>
      </c>
      <c r="P8" s="84">
        <v>102104</v>
      </c>
      <c r="Q8" s="84">
        <v>159056</v>
      </c>
      <c r="R8" s="84">
        <v>720744</v>
      </c>
      <c r="S8" s="84">
        <v>2147162</v>
      </c>
      <c r="T8" s="84">
        <v>613407</v>
      </c>
      <c r="U8" s="84">
        <v>1710842</v>
      </c>
      <c r="V8" s="84">
        <v>2109200</v>
      </c>
      <c r="W8" s="84">
        <v>6276144</v>
      </c>
      <c r="X8" s="84">
        <v>3570130</v>
      </c>
      <c r="Y8" s="84">
        <v>10719689</v>
      </c>
      <c r="Z8" s="84">
        <f>15120+26387+1433726</f>
        <v>1475233</v>
      </c>
      <c r="AA8" s="84">
        <f>45602+80138+4120389</f>
        <v>4246129</v>
      </c>
      <c r="AB8" s="84">
        <v>97998</v>
      </c>
      <c r="AC8" s="84">
        <v>285264</v>
      </c>
      <c r="AD8" s="84">
        <f>7250+9596+388101</f>
        <v>404947</v>
      </c>
      <c r="AE8" s="84">
        <f>22694+68532+1037000</f>
        <v>1128226</v>
      </c>
      <c r="AF8" s="84">
        <v>403253</v>
      </c>
      <c r="AG8" s="84">
        <v>1129247</v>
      </c>
      <c r="AH8" s="84">
        <v>73410</v>
      </c>
      <c r="AI8" s="84">
        <v>206771</v>
      </c>
      <c r="AJ8" s="84">
        <v>159141</v>
      </c>
      <c r="AK8" s="84">
        <v>410817</v>
      </c>
      <c r="AL8" s="84">
        <v>4123051</v>
      </c>
      <c r="AM8" s="84">
        <v>12013614</v>
      </c>
      <c r="AN8" s="84">
        <v>46352</v>
      </c>
      <c r="AO8" s="84">
        <v>112008</v>
      </c>
      <c r="AP8" s="84">
        <v>89080</v>
      </c>
      <c r="AQ8" s="84">
        <v>201090</v>
      </c>
      <c r="AR8" s="84">
        <f>5593+68328+1881418</f>
        <v>1955339</v>
      </c>
      <c r="AS8" s="84">
        <f>14493+187867+5120792</f>
        <v>5323152</v>
      </c>
      <c r="AT8" s="84">
        <v>264278</v>
      </c>
      <c r="AU8" s="84">
        <v>764150</v>
      </c>
      <c r="AV8" s="84">
        <f>3990+28840+808795</f>
        <v>841625</v>
      </c>
      <c r="AW8" s="84">
        <f>14254+112410+2388454</f>
        <v>2515118</v>
      </c>
      <c r="AX8" s="84">
        <v>1039794</v>
      </c>
      <c r="AY8" s="84">
        <v>3187458</v>
      </c>
      <c r="AZ8" s="84">
        <v>1577878</v>
      </c>
      <c r="BA8" s="84">
        <v>4417967</v>
      </c>
      <c r="BB8" s="84">
        <v>483878</v>
      </c>
      <c r="BC8" s="84">
        <v>1649300</v>
      </c>
      <c r="BD8" s="84">
        <v>2056838</v>
      </c>
      <c r="BE8" s="84">
        <v>5792386</v>
      </c>
      <c r="BF8" s="84">
        <f>109363+820522+5300349</f>
        <v>6230234</v>
      </c>
      <c r="BG8" s="84">
        <f>341277+2560504+16540166</f>
        <v>19441947</v>
      </c>
      <c r="BH8" s="84">
        <f>75544+210932+3101547</f>
        <v>3388023</v>
      </c>
      <c r="BI8" s="84">
        <f>213724+873122+10391139</f>
        <v>11477985</v>
      </c>
      <c r="BJ8" s="84">
        <v>4141454</v>
      </c>
      <c r="BK8" s="84">
        <v>13729069</v>
      </c>
      <c r="BL8" s="84">
        <f>1598+47613+682149</f>
        <v>731360</v>
      </c>
      <c r="BM8" s="84">
        <f>3485+107298+1460674</f>
        <v>1571457</v>
      </c>
      <c r="BN8" s="72">
        <f t="shared" si="0"/>
        <v>43950597.609999999</v>
      </c>
      <c r="BO8" s="72">
        <f t="shared" si="1"/>
        <v>132167431.16</v>
      </c>
    </row>
    <row r="9" spans="1:67" s="7" customFormat="1" x14ac:dyDescent="0.25">
      <c r="A9" s="3" t="s">
        <v>26</v>
      </c>
      <c r="B9" s="10">
        <v>564362</v>
      </c>
      <c r="C9" s="10">
        <v>1334392</v>
      </c>
      <c r="D9" s="10">
        <v>2300304</v>
      </c>
      <c r="E9" s="10">
        <v>5858189</v>
      </c>
      <c r="F9" s="10">
        <v>26045135</v>
      </c>
      <c r="G9" s="10">
        <v>57430917</v>
      </c>
      <c r="H9" s="10">
        <v>21614934</v>
      </c>
      <c r="I9" s="10">
        <v>65755612</v>
      </c>
      <c r="J9" s="10">
        <v>6129677</v>
      </c>
      <c r="K9" s="10">
        <v>16692940</v>
      </c>
      <c r="L9" s="10">
        <f>66293+365218+9936617</f>
        <v>10368128</v>
      </c>
      <c r="M9" s="10">
        <f>183815+1113525+28954033</f>
        <v>30251373</v>
      </c>
      <c r="N9" s="10">
        <v>3710940.5</v>
      </c>
      <c r="O9" s="10">
        <v>9936018.8200000003</v>
      </c>
      <c r="P9" s="10">
        <v>571320</v>
      </c>
      <c r="Q9" s="10">
        <v>1455272</v>
      </c>
      <c r="R9" s="10">
        <v>7100403</v>
      </c>
      <c r="S9" s="10">
        <v>18640139</v>
      </c>
      <c r="T9" s="10">
        <v>6039407</v>
      </c>
      <c r="U9" s="10">
        <v>15474545</v>
      </c>
      <c r="V9" s="10">
        <v>19120231</v>
      </c>
      <c r="W9" s="10">
        <v>55483434</v>
      </c>
      <c r="X9" s="10">
        <v>30589031</v>
      </c>
      <c r="Y9" s="10">
        <v>86719773</v>
      </c>
      <c r="Z9" s="10">
        <f>199899+213917+14295027</f>
        <v>14708843</v>
      </c>
      <c r="AA9" s="10">
        <f>586164+671512+39499832</f>
        <v>40757508</v>
      </c>
      <c r="AB9" s="10">
        <v>1150296</v>
      </c>
      <c r="AC9" s="10">
        <v>3228135</v>
      </c>
      <c r="AD9" s="10">
        <f>67376+52583+3343702</f>
        <v>3463661</v>
      </c>
      <c r="AE9" s="10">
        <f>169133+207533+10153522</f>
        <v>10530188</v>
      </c>
      <c r="AF9" s="10">
        <v>2400141</v>
      </c>
      <c r="AG9" s="10">
        <v>7191288</v>
      </c>
      <c r="AH9" s="10">
        <v>1792225</v>
      </c>
      <c r="AI9" s="10">
        <v>4517146</v>
      </c>
      <c r="AJ9" s="10">
        <v>3432951</v>
      </c>
      <c r="AK9" s="10">
        <v>9127895</v>
      </c>
      <c r="AL9" s="10">
        <v>36806490.294218943</v>
      </c>
      <c r="AM9" s="10">
        <v>104188917.871564</v>
      </c>
      <c r="AN9" s="10">
        <v>241406</v>
      </c>
      <c r="AO9" s="10">
        <v>831005</v>
      </c>
      <c r="AP9" s="10">
        <v>740850</v>
      </c>
      <c r="AQ9" s="10">
        <v>1818175</v>
      </c>
      <c r="AR9" s="10">
        <f>45087+641697+11679497</f>
        <v>12366281</v>
      </c>
      <c r="AS9" s="10">
        <f>159475+1972622+33497868</f>
        <v>35629965</v>
      </c>
      <c r="AT9" s="10">
        <v>4461779</v>
      </c>
      <c r="AU9" s="10">
        <v>12389740</v>
      </c>
      <c r="AV9" s="10">
        <f>58382+185253+6250859</f>
        <v>6494494</v>
      </c>
      <c r="AW9" s="10">
        <f>165362+522365+18164031</f>
        <v>18851758</v>
      </c>
      <c r="AX9" s="10">
        <v>8910524</v>
      </c>
      <c r="AY9" s="10">
        <v>28900397</v>
      </c>
      <c r="AZ9" s="10">
        <v>6989012</v>
      </c>
      <c r="BA9" s="10">
        <v>21475100</v>
      </c>
      <c r="BB9" s="10">
        <v>14685523</v>
      </c>
      <c r="BC9" s="10">
        <v>41285457</v>
      </c>
      <c r="BD9" s="10">
        <v>15291364</v>
      </c>
      <c r="BE9" s="10">
        <v>43202420</v>
      </c>
      <c r="BF9" s="10">
        <f>1490638+9036813+70614685</f>
        <v>81142136</v>
      </c>
      <c r="BG9" s="10">
        <f>3677431+25772855+193896402</f>
        <v>223346688</v>
      </c>
      <c r="BH9" s="10">
        <f>625716+1920898+31669932</f>
        <v>34216546</v>
      </c>
      <c r="BI9" s="10">
        <f>1838374+7006926+87451396</f>
        <v>96296696</v>
      </c>
      <c r="BJ9" s="10">
        <v>41205393</v>
      </c>
      <c r="BK9" s="10">
        <v>117332138</v>
      </c>
      <c r="BL9" s="10">
        <f>10982+200185+5028792</f>
        <v>5239959</v>
      </c>
      <c r="BM9" s="10">
        <f>30762+523612+12344677</f>
        <v>12899051</v>
      </c>
      <c r="BN9" s="68">
        <f t="shared" si="0"/>
        <v>429893746.79421896</v>
      </c>
      <c r="BO9" s="68">
        <f t="shared" si="1"/>
        <v>1198832272.6915641</v>
      </c>
    </row>
    <row r="10" spans="1:67" x14ac:dyDescent="0.25">
      <c r="A10" s="2" t="s">
        <v>27</v>
      </c>
      <c r="B10" s="84">
        <v>486367</v>
      </c>
      <c r="C10" s="84">
        <v>941533</v>
      </c>
      <c r="D10" s="84">
        <v>1041628</v>
      </c>
      <c r="E10" s="84">
        <v>2667891</v>
      </c>
      <c r="F10" s="84">
        <v>25908059</v>
      </c>
      <c r="G10" s="84">
        <v>50553296</v>
      </c>
      <c r="H10" s="84">
        <v>12247465</v>
      </c>
      <c r="I10" s="84">
        <v>39367181</v>
      </c>
      <c r="J10" s="84">
        <v>3402033</v>
      </c>
      <c r="K10" s="84">
        <v>9243790</v>
      </c>
      <c r="L10" s="84">
        <f>53433+113118+6326645</f>
        <v>6493196</v>
      </c>
      <c r="M10" s="84">
        <f>126800+362680+16812988</f>
        <v>17302468</v>
      </c>
      <c r="N10" s="84">
        <v>-248665.32</v>
      </c>
      <c r="O10" s="84">
        <v>6762670.54</v>
      </c>
      <c r="P10" s="84">
        <v>474154</v>
      </c>
      <c r="Q10" s="84">
        <v>1237012</v>
      </c>
      <c r="R10" s="84">
        <v>4220275</v>
      </c>
      <c r="S10" s="84">
        <v>10966077</v>
      </c>
      <c r="T10" s="84">
        <v>4078282</v>
      </c>
      <c r="U10" s="84">
        <v>9921440</v>
      </c>
      <c r="V10" s="84">
        <v>12731341</v>
      </c>
      <c r="W10" s="84">
        <v>36593776</v>
      </c>
      <c r="X10" s="84">
        <v>17204680</v>
      </c>
      <c r="Y10" s="84">
        <v>49958985</v>
      </c>
      <c r="Z10" s="84">
        <f>183488+76807+11448706</f>
        <v>11709001</v>
      </c>
      <c r="AA10" s="84">
        <f>371032+456026+29663554</f>
        <v>30490612</v>
      </c>
      <c r="AB10" s="84">
        <v>739154</v>
      </c>
      <c r="AC10" s="84">
        <v>1831967</v>
      </c>
      <c r="AD10" s="84">
        <f>49484+45676+2278993</f>
        <v>2374153</v>
      </c>
      <c r="AE10" s="84">
        <f>105651+100834+5621506</f>
        <v>5827991</v>
      </c>
      <c r="AF10" s="84">
        <v>1487914</v>
      </c>
      <c r="AG10" s="84">
        <v>4567390</v>
      </c>
      <c r="AH10" s="84">
        <v>1067266</v>
      </c>
      <c r="AI10" s="84">
        <v>2599199</v>
      </c>
      <c r="AJ10" s="84">
        <v>1928186</v>
      </c>
      <c r="AK10" s="84">
        <v>4567110</v>
      </c>
      <c r="AL10" s="84">
        <v>30020825.545408905</v>
      </c>
      <c r="AM10" s="84">
        <v>69677500.656350464</v>
      </c>
      <c r="AN10" s="84">
        <v>123431</v>
      </c>
      <c r="AO10" s="84">
        <v>444379</v>
      </c>
      <c r="AP10" s="84">
        <v>432073</v>
      </c>
      <c r="AQ10" s="84">
        <v>1104458</v>
      </c>
      <c r="AR10" s="84">
        <f>72403+271419+7491498</f>
        <v>7835320</v>
      </c>
      <c r="AS10" s="84">
        <f>113359+1017465+21018202</f>
        <v>22149026</v>
      </c>
      <c r="AT10" s="84">
        <v>2651067</v>
      </c>
      <c r="AU10" s="84">
        <v>7129857</v>
      </c>
      <c r="AV10" s="84">
        <f>20873+60825+4703676</f>
        <v>4785374</v>
      </c>
      <c r="AW10" s="84">
        <f>64754+245178+12108311</f>
        <v>12418243</v>
      </c>
      <c r="AX10" s="84">
        <v>5736649</v>
      </c>
      <c r="AY10" s="84">
        <v>19404499</v>
      </c>
      <c r="AZ10" s="84">
        <v>4606284</v>
      </c>
      <c r="BA10" s="84">
        <v>13094838</v>
      </c>
      <c r="BB10" s="84">
        <v>13448041</v>
      </c>
      <c r="BC10" s="84">
        <v>29791042</v>
      </c>
      <c r="BD10" s="84">
        <v>8925329</v>
      </c>
      <c r="BE10" s="84">
        <v>25040014</v>
      </c>
      <c r="BF10" s="84">
        <f>984815+2494038+54185177</f>
        <v>57664030</v>
      </c>
      <c r="BG10" s="84">
        <f>2067859+16544848+134319305</f>
        <v>152932012</v>
      </c>
      <c r="BH10" s="84">
        <f>853034+595764+30370929</f>
        <v>31819727</v>
      </c>
      <c r="BI10" s="84">
        <f>1529852+3748405+70103298</f>
        <v>75381555</v>
      </c>
      <c r="BJ10" s="84">
        <v>36574415</v>
      </c>
      <c r="BK10" s="84">
        <v>89017338</v>
      </c>
      <c r="BL10" s="84">
        <f>9690+15890+3787821</f>
        <v>3813401</v>
      </c>
      <c r="BM10" s="84">
        <f>22248+342519+8986574</f>
        <v>9351341</v>
      </c>
      <c r="BN10" s="72">
        <f t="shared" si="0"/>
        <v>315780455.22540891</v>
      </c>
      <c r="BO10" s="72">
        <f t="shared" si="1"/>
        <v>812336491.19635046</v>
      </c>
    </row>
    <row r="11" spans="1:67" x14ac:dyDescent="0.25">
      <c r="A11" s="2" t="s">
        <v>28</v>
      </c>
      <c r="B11" s="84">
        <v>-13838</v>
      </c>
      <c r="C11" s="84">
        <v>-75331</v>
      </c>
      <c r="D11" s="84">
        <v>183901</v>
      </c>
      <c r="E11" s="84">
        <v>457192</v>
      </c>
      <c r="F11" s="84">
        <v>-108014</v>
      </c>
      <c r="G11" s="84">
        <v>-1368068</v>
      </c>
      <c r="H11" s="84">
        <v>299462</v>
      </c>
      <c r="I11" s="84">
        <v>-213074</v>
      </c>
      <c r="J11" s="84">
        <v>351950</v>
      </c>
      <c r="K11" s="84">
        <v>686144</v>
      </c>
      <c r="L11" s="84">
        <f>-3391-35561+156783</f>
        <v>117831</v>
      </c>
      <c r="M11" s="84">
        <f>-14642-96544+378154</f>
        <v>266968</v>
      </c>
      <c r="N11" s="84">
        <v>-54131.59</v>
      </c>
      <c r="O11" s="84">
        <v>-169770.2</v>
      </c>
      <c r="P11" s="84">
        <v>38422</v>
      </c>
      <c r="Q11" s="84">
        <v>105074</v>
      </c>
      <c r="R11" s="84">
        <v>101476</v>
      </c>
      <c r="S11" s="84">
        <v>546752</v>
      </c>
      <c r="T11" s="84">
        <v>215871</v>
      </c>
      <c r="U11" s="84">
        <v>527910</v>
      </c>
      <c r="V11" s="84">
        <v>-415662</v>
      </c>
      <c r="W11" s="84">
        <v>-1358209</v>
      </c>
      <c r="X11" s="84">
        <v>2243835</v>
      </c>
      <c r="Y11" s="84">
        <v>4911470</v>
      </c>
      <c r="Z11" s="84">
        <f>5447-352257+666146</f>
        <v>319336</v>
      </c>
      <c r="AA11" s="84">
        <f>39041-530166+2042782</f>
        <v>1551657</v>
      </c>
      <c r="AB11" s="84">
        <v>75752</v>
      </c>
      <c r="AC11" s="84">
        <v>215132</v>
      </c>
      <c r="AD11" s="84">
        <f>11336-7760+383214</f>
        <v>386790</v>
      </c>
      <c r="AE11" s="84">
        <f>30623-25422+908701</f>
        <v>913902</v>
      </c>
      <c r="AF11" s="84">
        <v>-123152</v>
      </c>
      <c r="AG11" s="84">
        <v>-382370</v>
      </c>
      <c r="AH11" s="84">
        <v>206678</v>
      </c>
      <c r="AI11" s="84">
        <v>571389</v>
      </c>
      <c r="AJ11" s="84">
        <v>176653</v>
      </c>
      <c r="AK11" s="84">
        <v>345429</v>
      </c>
      <c r="AL11" s="84">
        <v>2388338.0145100006</v>
      </c>
      <c r="AM11" s="84">
        <v>6287928.3200200005</v>
      </c>
      <c r="AN11" s="84">
        <v>15192</v>
      </c>
      <c r="AO11" s="84">
        <v>35644</v>
      </c>
      <c r="AP11" s="84">
        <v>112320</v>
      </c>
      <c r="AQ11" s="84">
        <v>214606</v>
      </c>
      <c r="AR11" s="84">
        <f>1281+1843-760213</f>
        <v>-757089</v>
      </c>
      <c r="AS11" s="84">
        <f>-12934+122091-1254088</f>
        <v>-1144931</v>
      </c>
      <c r="AT11" s="84">
        <v>178524</v>
      </c>
      <c r="AU11" s="84">
        <v>122467</v>
      </c>
      <c r="AV11" s="84">
        <f>8833-14798+409733</f>
        <v>403768</v>
      </c>
      <c r="AW11" s="84">
        <f>14643-53655+1029930</f>
        <v>990918</v>
      </c>
      <c r="AX11" s="84">
        <v>-260519</v>
      </c>
      <c r="AY11" s="84">
        <v>-1523858</v>
      </c>
      <c r="AZ11" s="84">
        <v>278345</v>
      </c>
      <c r="BA11" s="84">
        <v>807835</v>
      </c>
      <c r="BB11" s="84">
        <v>1710173</v>
      </c>
      <c r="BC11" s="84">
        <v>4731595</v>
      </c>
      <c r="BD11" s="84">
        <v>1007697</v>
      </c>
      <c r="BE11" s="84">
        <v>1790649</v>
      </c>
      <c r="BF11" s="84">
        <f>208666+1363559+4715139</f>
        <v>6287364</v>
      </c>
      <c r="BG11" s="84">
        <f>473224+4104297+13861183</f>
        <v>18438704</v>
      </c>
      <c r="BH11" s="84">
        <f>57290+262015+2128162</f>
        <v>2447467</v>
      </c>
      <c r="BI11" s="84">
        <f>142446+811383+5118976</f>
        <v>6072805</v>
      </c>
      <c r="BJ11" s="84">
        <v>2299705</v>
      </c>
      <c r="BK11" s="84">
        <v>6319020</v>
      </c>
      <c r="BL11" s="84">
        <f>-6105+20413+174019</f>
        <v>188327</v>
      </c>
      <c r="BM11" s="84">
        <f>-14930+8133+373323</f>
        <v>366526</v>
      </c>
      <c r="BN11" s="72">
        <f t="shared" si="0"/>
        <v>20302771.424510002</v>
      </c>
      <c r="BO11" s="72">
        <f t="shared" si="1"/>
        <v>51042105.120020002</v>
      </c>
    </row>
    <row r="12" spans="1:67" ht="30" x14ac:dyDescent="0.25">
      <c r="A12" s="2" t="s">
        <v>29</v>
      </c>
      <c r="B12" s="84">
        <v>798845</v>
      </c>
      <c r="C12" s="84">
        <v>1584920</v>
      </c>
      <c r="D12" s="84">
        <v>1617854</v>
      </c>
      <c r="E12" s="84">
        <v>4581738</v>
      </c>
      <c r="F12" s="84">
        <v>406419</v>
      </c>
      <c r="G12" s="84">
        <v>2035183</v>
      </c>
      <c r="H12" s="84">
        <v>5567788</v>
      </c>
      <c r="I12" s="84">
        <v>14960944</v>
      </c>
      <c r="J12" s="84">
        <v>2363056</v>
      </c>
      <c r="K12" s="84">
        <v>5731811</v>
      </c>
      <c r="L12" s="84">
        <f>19002+89600+2860958</f>
        <v>2969560</v>
      </c>
      <c r="M12" s="84">
        <f>51231+273622+7631683</f>
        <v>7956536</v>
      </c>
      <c r="N12" s="84">
        <v>630605.48</v>
      </c>
      <c r="O12" s="84">
        <v>1687674.06</v>
      </c>
      <c r="P12" s="84">
        <v>245348</v>
      </c>
      <c r="Q12" s="84">
        <v>806849</v>
      </c>
      <c r="R12" s="84">
        <v>2468415</v>
      </c>
      <c r="S12" s="84">
        <v>6094181</v>
      </c>
      <c r="T12" s="84">
        <v>2287428</v>
      </c>
      <c r="U12" s="84">
        <v>5349033</v>
      </c>
      <c r="V12" s="84">
        <v>5430598</v>
      </c>
      <c r="W12" s="84">
        <v>14019094</v>
      </c>
      <c r="X12" s="84">
        <v>8019668</v>
      </c>
      <c r="Y12" s="84">
        <v>20113730</v>
      </c>
      <c r="Z12" s="84">
        <f>32556+25300+2066448</f>
        <v>2124304</v>
      </c>
      <c r="AA12" s="84">
        <f>83752+82165+5288453</f>
        <v>5454370</v>
      </c>
      <c r="AB12" s="84">
        <v>402905</v>
      </c>
      <c r="AC12" s="84">
        <v>1132070</v>
      </c>
      <c r="AD12" s="84">
        <f>22932+20420+1471164</f>
        <v>1514516</v>
      </c>
      <c r="AE12" s="84">
        <f>60120+93253+3606542</f>
        <v>3759915</v>
      </c>
      <c r="AF12" s="84">
        <v>1032375</v>
      </c>
      <c r="AG12" s="84">
        <v>2645463</v>
      </c>
      <c r="AH12" s="84">
        <v>965673</v>
      </c>
      <c r="AI12" s="84">
        <v>2439845</v>
      </c>
      <c r="AJ12" s="84">
        <v>1346724</v>
      </c>
      <c r="AK12" s="84">
        <v>3668402</v>
      </c>
      <c r="AL12" s="84">
        <v>7498858</v>
      </c>
      <c r="AM12" s="84">
        <v>24066402</v>
      </c>
      <c r="AN12" s="84">
        <v>221669</v>
      </c>
      <c r="AO12" s="84">
        <v>652858</v>
      </c>
      <c r="AP12" s="84">
        <v>332549</v>
      </c>
      <c r="AQ12" s="84">
        <v>769301</v>
      </c>
      <c r="AR12" s="84">
        <f>8092+228164+3799923</f>
        <v>4036179</v>
      </c>
      <c r="AS12" s="84">
        <f>39740+880986+10296511</f>
        <v>11217237</v>
      </c>
      <c r="AT12" s="84">
        <v>1750782</v>
      </c>
      <c r="AU12" s="84">
        <v>5014571</v>
      </c>
      <c r="AV12" s="84">
        <f>15140+33137+1429916</f>
        <v>1478193</v>
      </c>
      <c r="AW12" s="84">
        <f>36327+116469+3357894</f>
        <v>3510690</v>
      </c>
      <c r="AX12" s="84">
        <v>2644132</v>
      </c>
      <c r="AY12" s="84">
        <v>7019222</v>
      </c>
      <c r="AZ12" s="84">
        <v>1104236</v>
      </c>
      <c r="BA12" s="84">
        <v>2830144</v>
      </c>
      <c r="BB12" s="84">
        <v>3464860</v>
      </c>
      <c r="BC12" s="84">
        <v>9499080</v>
      </c>
      <c r="BD12" s="84">
        <v>5052738</v>
      </c>
      <c r="BE12" s="84">
        <v>12777046</v>
      </c>
      <c r="BF12" s="84">
        <f>227802+1224122+11747281</f>
        <v>13199205</v>
      </c>
      <c r="BG12" s="84">
        <f>659525+4675185+35782186</f>
        <v>41116896</v>
      </c>
      <c r="BH12" s="84">
        <f>171408+1015185+6774633</f>
        <v>7961226</v>
      </c>
      <c r="BI12" s="84">
        <f>497559+3550821+18933109</f>
        <v>22981489</v>
      </c>
      <c r="BJ12" s="84">
        <v>9410616</v>
      </c>
      <c r="BK12" s="84">
        <v>26309360</v>
      </c>
      <c r="BL12" s="84">
        <f>1549+17556+590039</f>
        <v>609144</v>
      </c>
      <c r="BM12" s="84">
        <f>3464+50684+1666023</f>
        <v>1720171</v>
      </c>
      <c r="BN12" s="72">
        <f t="shared" si="0"/>
        <v>98956468.480000004</v>
      </c>
      <c r="BO12" s="72">
        <f t="shared" si="1"/>
        <v>273506225.06</v>
      </c>
    </row>
    <row r="13" spans="1:67" x14ac:dyDescent="0.25">
      <c r="A13" s="2" t="s">
        <v>32</v>
      </c>
      <c r="B13" s="84">
        <f>B14-B12-B11-B10</f>
        <v>0</v>
      </c>
      <c r="C13" s="84">
        <f t="shared" ref="C13:K13" si="15">C14-C12-C11-C10</f>
        <v>63</v>
      </c>
      <c r="D13" s="84">
        <f t="shared" si="15"/>
        <v>0</v>
      </c>
      <c r="E13" s="84">
        <f t="shared" si="15"/>
        <v>0</v>
      </c>
      <c r="F13" s="84">
        <f t="shared" si="15"/>
        <v>-3846594</v>
      </c>
      <c r="G13" s="84">
        <f t="shared" si="15"/>
        <v>123074</v>
      </c>
      <c r="H13" s="84">
        <f t="shared" si="15"/>
        <v>8004</v>
      </c>
      <c r="I13" s="84">
        <f t="shared" si="15"/>
        <v>19102</v>
      </c>
      <c r="J13" s="84">
        <f t="shared" si="15"/>
        <v>3112</v>
      </c>
      <c r="K13" s="84">
        <f t="shared" si="15"/>
        <v>-6403</v>
      </c>
      <c r="L13" s="84">
        <f t="shared" ref="L13:BL13" si="16">L14-L12-L11-L10</f>
        <v>0</v>
      </c>
      <c r="M13" s="84">
        <f t="shared" si="16"/>
        <v>0</v>
      </c>
      <c r="N13" s="84">
        <f t="shared" si="16"/>
        <v>324792.59000000008</v>
      </c>
      <c r="O13" s="84">
        <f t="shared" si="16"/>
        <v>1353.1199999991804</v>
      </c>
      <c r="P13" s="84">
        <f t="shared" si="16"/>
        <v>43443</v>
      </c>
      <c r="Q13" s="84">
        <f t="shared" ref="Q13" si="17">Q14-Q12-Q11-Q10</f>
        <v>7485</v>
      </c>
      <c r="R13" s="84">
        <f t="shared" si="16"/>
        <v>1</v>
      </c>
      <c r="S13" s="84">
        <f t="shared" si="16"/>
        <v>1</v>
      </c>
      <c r="T13" s="84">
        <f t="shared" si="16"/>
        <v>0</v>
      </c>
      <c r="U13" s="84">
        <f t="shared" si="16"/>
        <v>0</v>
      </c>
      <c r="V13" s="84">
        <f t="shared" si="16"/>
        <v>-1</v>
      </c>
      <c r="W13" s="84">
        <f t="shared" si="16"/>
        <v>0</v>
      </c>
      <c r="X13" s="84">
        <f t="shared" si="16"/>
        <v>0</v>
      </c>
      <c r="Y13" s="84">
        <f t="shared" ref="Y13" si="18">Y14-Y12-Y11-Y10</f>
        <v>0</v>
      </c>
      <c r="Z13" s="84">
        <f t="shared" si="16"/>
        <v>0</v>
      </c>
      <c r="AA13" s="84">
        <f t="shared" ref="AA13" si="19">AA14-AA12-AA11-AA10</f>
        <v>0</v>
      </c>
      <c r="AB13" s="84">
        <f t="shared" si="16"/>
        <v>366</v>
      </c>
      <c r="AC13" s="84">
        <f t="shared" ref="AC13" si="20">AC14-AC12-AC11-AC10</f>
        <v>901</v>
      </c>
      <c r="AD13" s="84">
        <f t="shared" si="16"/>
        <v>1</v>
      </c>
      <c r="AE13" s="84">
        <f t="shared" ref="AE13" si="21">AE14-AE12-AE11-AE10</f>
        <v>0</v>
      </c>
      <c r="AF13" s="84">
        <f t="shared" si="16"/>
        <v>119</v>
      </c>
      <c r="AG13" s="84">
        <f t="shared" ref="AG13" si="22">AG14-AG12-AG11-AG10</f>
        <v>-202</v>
      </c>
      <c r="AH13" s="84">
        <f t="shared" si="16"/>
        <v>0</v>
      </c>
      <c r="AI13" s="84">
        <f t="shared" si="16"/>
        <v>0</v>
      </c>
      <c r="AJ13" s="84">
        <f t="shared" si="16"/>
        <v>0</v>
      </c>
      <c r="AK13" s="84">
        <f t="shared" si="16"/>
        <v>0</v>
      </c>
      <c r="AL13" s="84">
        <f t="shared" si="16"/>
        <v>141312.00000000373</v>
      </c>
      <c r="AM13" s="84">
        <f t="shared" ref="AM13" si="23">AM14-AM12-AM11-AM10</f>
        <v>550643</v>
      </c>
      <c r="AN13" s="84">
        <f t="shared" si="16"/>
        <v>94</v>
      </c>
      <c r="AO13" s="84">
        <f t="shared" ref="AO13" si="24">AO14-AO12-AO11-AO10</f>
        <v>981977</v>
      </c>
      <c r="AP13" s="84">
        <f t="shared" si="16"/>
        <v>-1</v>
      </c>
      <c r="AQ13" s="84">
        <f t="shared" ref="AQ13" si="25">AQ14-AQ12-AQ11-AQ10</f>
        <v>0</v>
      </c>
      <c r="AR13" s="84">
        <f t="shared" si="16"/>
        <v>0</v>
      </c>
      <c r="AS13" s="84">
        <f t="shared" ref="AS13" si="26">AS14-AS12-AS11-AS10</f>
        <v>0</v>
      </c>
      <c r="AT13" s="84">
        <f t="shared" si="16"/>
        <v>0</v>
      </c>
      <c r="AU13" s="84">
        <f t="shared" ref="AU13" si="27">AU14-AU12-AU11-AU10</f>
        <v>201927</v>
      </c>
      <c r="AV13" s="84">
        <f t="shared" si="16"/>
        <v>0</v>
      </c>
      <c r="AW13" s="84">
        <f t="shared" si="16"/>
        <v>0</v>
      </c>
      <c r="AX13" s="84">
        <f t="shared" si="16"/>
        <v>0</v>
      </c>
      <c r="AY13" s="84">
        <f t="shared" si="16"/>
        <v>0</v>
      </c>
      <c r="AZ13" s="84">
        <f t="shared" si="16"/>
        <v>1</v>
      </c>
      <c r="BA13" s="84">
        <f t="shared" ref="BA13" si="28">BA14-BA12-BA11-BA10</f>
        <v>-1</v>
      </c>
      <c r="BB13" s="84">
        <f t="shared" si="16"/>
        <v>0</v>
      </c>
      <c r="BC13" s="84">
        <f t="shared" si="16"/>
        <v>0</v>
      </c>
      <c r="BD13" s="84">
        <f t="shared" si="16"/>
        <v>0</v>
      </c>
      <c r="BE13" s="84">
        <f t="shared" ref="BE13" si="29">BE14-BE12-BE11-BE10</f>
        <v>0</v>
      </c>
      <c r="BF13" s="84">
        <f t="shared" si="16"/>
        <v>1670299</v>
      </c>
      <c r="BG13" s="84">
        <f t="shared" si="16"/>
        <v>2694245</v>
      </c>
      <c r="BH13" s="84">
        <f t="shared" ref="BH13:BI13" si="30">BH14-BH12-BH11-BH10</f>
        <v>0</v>
      </c>
      <c r="BI13" s="84">
        <f t="shared" si="30"/>
        <v>0</v>
      </c>
      <c r="BJ13" s="84">
        <f t="shared" si="16"/>
        <v>116778</v>
      </c>
      <c r="BK13" s="84">
        <f t="shared" ref="BK13" si="31">BK14-BK12-BK11-BK10</f>
        <v>1825593</v>
      </c>
      <c r="BL13" s="84">
        <f t="shared" si="16"/>
        <v>920</v>
      </c>
      <c r="BM13" s="84">
        <f t="shared" ref="BM13" si="32">BM14-BM12-BM11-BM10</f>
        <v>2581</v>
      </c>
      <c r="BN13" s="72">
        <f t="shared" si="0"/>
        <v>-1537353.4099999964</v>
      </c>
      <c r="BO13" s="72">
        <f t="shared" si="1"/>
        <v>6402339.1199999992</v>
      </c>
    </row>
    <row r="14" spans="1:67" s="7" customFormat="1" x14ac:dyDescent="0.25">
      <c r="A14" s="3" t="s">
        <v>30</v>
      </c>
      <c r="B14" s="10">
        <v>1271374</v>
      </c>
      <c r="C14" s="10">
        <v>2451185</v>
      </c>
      <c r="D14" s="10">
        <v>2843383</v>
      </c>
      <c r="E14" s="10">
        <v>7706821</v>
      </c>
      <c r="F14" s="10">
        <v>22359870</v>
      </c>
      <c r="G14" s="10">
        <v>51343485</v>
      </c>
      <c r="H14" s="10">
        <v>18122719</v>
      </c>
      <c r="I14" s="10">
        <v>54134153</v>
      </c>
      <c r="J14" s="10">
        <v>6120151</v>
      </c>
      <c r="K14" s="10">
        <v>15655342</v>
      </c>
      <c r="L14" s="10">
        <f>69044+167157+9344386</f>
        <v>9580587</v>
      </c>
      <c r="M14" s="10">
        <f>163389+539758+24822825</f>
        <v>25525972</v>
      </c>
      <c r="N14" s="10">
        <v>652601.16</v>
      </c>
      <c r="O14" s="10">
        <v>8281927.5199999996</v>
      </c>
      <c r="P14" s="10">
        <v>801367</v>
      </c>
      <c r="Q14" s="10">
        <v>2156420</v>
      </c>
      <c r="R14" s="10">
        <v>6790167</v>
      </c>
      <c r="S14" s="10">
        <v>17607011</v>
      </c>
      <c r="T14" s="10">
        <v>6581581</v>
      </c>
      <c r="U14" s="10">
        <v>15798383</v>
      </c>
      <c r="V14" s="10">
        <v>17746276</v>
      </c>
      <c r="W14" s="10">
        <v>49254661</v>
      </c>
      <c r="X14" s="10">
        <v>27468183</v>
      </c>
      <c r="Y14" s="10">
        <v>74984185</v>
      </c>
      <c r="Z14" s="10">
        <f>221491-250150+14181300</f>
        <v>14152641</v>
      </c>
      <c r="AA14" s="10">
        <f>493825+8025+36994789</f>
        <v>37496639</v>
      </c>
      <c r="AB14" s="10">
        <v>1218177</v>
      </c>
      <c r="AC14" s="10">
        <v>3180070</v>
      </c>
      <c r="AD14" s="10">
        <f>83752+58336+4133372</f>
        <v>4275460</v>
      </c>
      <c r="AE14" s="10">
        <f>196394+168665+10136749</f>
        <v>10501808</v>
      </c>
      <c r="AF14" s="10">
        <v>2397256</v>
      </c>
      <c r="AG14" s="10">
        <v>6830281</v>
      </c>
      <c r="AH14" s="10">
        <v>2239617</v>
      </c>
      <c r="AI14" s="10">
        <v>5610433</v>
      </c>
      <c r="AJ14" s="10">
        <v>3451563</v>
      </c>
      <c r="AK14" s="10">
        <v>8580941</v>
      </c>
      <c r="AL14" s="10">
        <v>40049333.55991891</v>
      </c>
      <c r="AM14" s="10">
        <v>100582473.97637047</v>
      </c>
      <c r="AN14" s="10">
        <v>360386</v>
      </c>
      <c r="AO14" s="10">
        <v>2114858</v>
      </c>
      <c r="AP14" s="10">
        <v>876941</v>
      </c>
      <c r="AQ14" s="10">
        <v>2088365</v>
      </c>
      <c r="AR14" s="10">
        <f>81776+501426+10531208</f>
        <v>11114410</v>
      </c>
      <c r="AS14" s="10">
        <f>140165+2020542+30060625</f>
        <v>32221332</v>
      </c>
      <c r="AT14" s="10">
        <v>4580373</v>
      </c>
      <c r="AU14" s="10">
        <v>12468822</v>
      </c>
      <c r="AV14" s="10">
        <f>44846+79164+6543325</f>
        <v>6667335</v>
      </c>
      <c r="AW14" s="10">
        <f>115724+307992+16496135</f>
        <v>16919851</v>
      </c>
      <c r="AX14" s="10">
        <v>8120262</v>
      </c>
      <c r="AY14" s="10">
        <v>24899863</v>
      </c>
      <c r="AZ14" s="10">
        <v>5988866</v>
      </c>
      <c r="BA14" s="10">
        <v>16732816</v>
      </c>
      <c r="BB14" s="10">
        <v>18623074</v>
      </c>
      <c r="BC14" s="10">
        <v>44021717</v>
      </c>
      <c r="BD14" s="10">
        <v>14985764</v>
      </c>
      <c r="BE14" s="10">
        <v>39607709</v>
      </c>
      <c r="BF14" s="10">
        <f>1450602+5301698+72068598</f>
        <v>78820898</v>
      </c>
      <c r="BG14" s="10">
        <f>3247902+25679162+186254793</f>
        <v>215181857</v>
      </c>
      <c r="BH14" s="10">
        <f>1081732+1872964+39273724</f>
        <v>42228420</v>
      </c>
      <c r="BI14" s="10">
        <f>2169857+8110609+94155383</f>
        <v>104435849</v>
      </c>
      <c r="BJ14" s="10">
        <v>48401514</v>
      </c>
      <c r="BK14" s="10">
        <v>123471311</v>
      </c>
      <c r="BL14" s="10">
        <f>5134+53859+4552799</f>
        <v>4611792</v>
      </c>
      <c r="BM14" s="10">
        <f>10782+401336+11028501</f>
        <v>11440619</v>
      </c>
      <c r="BN14" s="68">
        <f t="shared" si="0"/>
        <v>433502341.71991891</v>
      </c>
      <c r="BO14" s="68">
        <f t="shared" si="1"/>
        <v>1143287160.4963703</v>
      </c>
    </row>
    <row r="15" spans="1:67" s="7" customFormat="1" x14ac:dyDescent="0.25">
      <c r="A15" s="3" t="s">
        <v>31</v>
      </c>
      <c r="B15" s="10">
        <f>B9-B14</f>
        <v>-707012</v>
      </c>
      <c r="C15" s="10">
        <f t="shared" ref="C15:K15" si="33">C9-C14</f>
        <v>-1116793</v>
      </c>
      <c r="D15" s="10">
        <f t="shared" si="33"/>
        <v>-543079</v>
      </c>
      <c r="E15" s="10">
        <f t="shared" si="33"/>
        <v>-1848632</v>
      </c>
      <c r="F15" s="10">
        <f t="shared" si="33"/>
        <v>3685265</v>
      </c>
      <c r="G15" s="10">
        <f t="shared" si="33"/>
        <v>6087432</v>
      </c>
      <c r="H15" s="10">
        <f t="shared" si="33"/>
        <v>3492215</v>
      </c>
      <c r="I15" s="10">
        <f t="shared" si="33"/>
        <v>11621459</v>
      </c>
      <c r="J15" s="10">
        <f t="shared" si="33"/>
        <v>9526</v>
      </c>
      <c r="K15" s="10">
        <f t="shared" si="33"/>
        <v>1037598</v>
      </c>
      <c r="L15" s="10">
        <f t="shared" ref="L15:BL15" si="34">L9-L14</f>
        <v>787541</v>
      </c>
      <c r="M15" s="10">
        <f t="shared" si="34"/>
        <v>4725401</v>
      </c>
      <c r="N15" s="10">
        <f t="shared" si="34"/>
        <v>3058339.34</v>
      </c>
      <c r="O15" s="10">
        <f t="shared" si="34"/>
        <v>1654091.3000000007</v>
      </c>
      <c r="P15" s="10">
        <f t="shared" si="34"/>
        <v>-230047</v>
      </c>
      <c r="Q15" s="10">
        <f t="shared" ref="Q15" si="35">Q9-Q14</f>
        <v>-701148</v>
      </c>
      <c r="R15" s="10">
        <f t="shared" si="34"/>
        <v>310236</v>
      </c>
      <c r="S15" s="10">
        <f t="shared" si="34"/>
        <v>1033128</v>
      </c>
      <c r="T15" s="10">
        <f t="shared" si="34"/>
        <v>-542174</v>
      </c>
      <c r="U15" s="10">
        <f t="shared" si="34"/>
        <v>-323838</v>
      </c>
      <c r="V15" s="10">
        <f t="shared" si="34"/>
        <v>1373955</v>
      </c>
      <c r="W15" s="10">
        <f t="shared" si="34"/>
        <v>6228773</v>
      </c>
      <c r="X15" s="10">
        <f t="shared" si="34"/>
        <v>3120848</v>
      </c>
      <c r="Y15" s="10">
        <f t="shared" ref="Y15" si="36">Y9-Y14</f>
        <v>11735588</v>
      </c>
      <c r="Z15" s="10">
        <f t="shared" si="34"/>
        <v>556202</v>
      </c>
      <c r="AA15" s="10">
        <f t="shared" ref="AA15" si="37">AA9-AA14</f>
        <v>3260869</v>
      </c>
      <c r="AB15" s="10">
        <f t="shared" si="34"/>
        <v>-67881</v>
      </c>
      <c r="AC15" s="10">
        <f t="shared" ref="AC15" si="38">AC9-AC14</f>
        <v>48065</v>
      </c>
      <c r="AD15" s="10">
        <f t="shared" si="34"/>
        <v>-811799</v>
      </c>
      <c r="AE15" s="10">
        <f t="shared" ref="AE15" si="39">AE9-AE14</f>
        <v>28380</v>
      </c>
      <c r="AF15" s="10">
        <f t="shared" si="34"/>
        <v>2885</v>
      </c>
      <c r="AG15" s="10">
        <f t="shared" ref="AG15" si="40">AG9-AG14</f>
        <v>361007</v>
      </c>
      <c r="AH15" s="10">
        <f t="shared" si="34"/>
        <v>-447392</v>
      </c>
      <c r="AI15" s="10">
        <f t="shared" si="34"/>
        <v>-1093287</v>
      </c>
      <c r="AJ15" s="10">
        <f t="shared" si="34"/>
        <v>-18612</v>
      </c>
      <c r="AK15" s="10">
        <f t="shared" si="34"/>
        <v>546954</v>
      </c>
      <c r="AL15" s="10">
        <f t="shared" si="34"/>
        <v>-3242843.2656999677</v>
      </c>
      <c r="AM15" s="10">
        <f t="shared" ref="AM15" si="41">AM9-AM14</f>
        <v>3606443.8951935321</v>
      </c>
      <c r="AN15" s="10">
        <f t="shared" si="34"/>
        <v>-118980</v>
      </c>
      <c r="AO15" s="10">
        <f t="shared" ref="AO15" si="42">AO9-AO14</f>
        <v>-1283853</v>
      </c>
      <c r="AP15" s="10">
        <f t="shared" si="34"/>
        <v>-136091</v>
      </c>
      <c r="AQ15" s="10">
        <f t="shared" ref="AQ15" si="43">AQ9-AQ14</f>
        <v>-270190</v>
      </c>
      <c r="AR15" s="10">
        <f t="shared" si="34"/>
        <v>1251871</v>
      </c>
      <c r="AS15" s="10">
        <f t="shared" ref="AS15" si="44">AS9-AS14</f>
        <v>3408633</v>
      </c>
      <c r="AT15" s="10">
        <f t="shared" si="34"/>
        <v>-118594</v>
      </c>
      <c r="AU15" s="10">
        <f t="shared" ref="AU15" si="45">AU9-AU14</f>
        <v>-79082</v>
      </c>
      <c r="AV15" s="10">
        <f t="shared" si="34"/>
        <v>-172841</v>
      </c>
      <c r="AW15" s="10">
        <f t="shared" si="34"/>
        <v>1931907</v>
      </c>
      <c r="AX15" s="10">
        <f t="shared" si="34"/>
        <v>790262</v>
      </c>
      <c r="AY15" s="10">
        <f t="shared" si="34"/>
        <v>4000534</v>
      </c>
      <c r="AZ15" s="10">
        <f t="shared" si="34"/>
        <v>1000146</v>
      </c>
      <c r="BA15" s="10">
        <f t="shared" ref="BA15" si="46">BA9-BA14</f>
        <v>4742284</v>
      </c>
      <c r="BB15" s="10">
        <f t="shared" si="34"/>
        <v>-3937551</v>
      </c>
      <c r="BC15" s="10">
        <f t="shared" si="34"/>
        <v>-2736260</v>
      </c>
      <c r="BD15" s="10">
        <f t="shared" si="34"/>
        <v>305600</v>
      </c>
      <c r="BE15" s="10">
        <f t="shared" ref="BE15" si="47">BE9-BE14</f>
        <v>3594711</v>
      </c>
      <c r="BF15" s="10">
        <f t="shared" si="34"/>
        <v>2321238</v>
      </c>
      <c r="BG15" s="10">
        <f t="shared" si="34"/>
        <v>8164831</v>
      </c>
      <c r="BH15" s="10">
        <f t="shared" ref="BH15:BI15" si="48">BH9-BH14</f>
        <v>-8011874</v>
      </c>
      <c r="BI15" s="10">
        <f t="shared" si="48"/>
        <v>-8139153</v>
      </c>
      <c r="BJ15" s="10">
        <f t="shared" si="34"/>
        <v>-7196121</v>
      </c>
      <c r="BK15" s="10">
        <f t="shared" ref="BK15" si="49">BK9-BK14</f>
        <v>-6139173</v>
      </c>
      <c r="BL15" s="10">
        <f t="shared" si="34"/>
        <v>628167</v>
      </c>
      <c r="BM15" s="10">
        <f t="shared" ref="BM15" si="50">BM9-BM14</f>
        <v>1458432</v>
      </c>
      <c r="BN15" s="68">
        <f t="shared" si="0"/>
        <v>-3608594.9256999679</v>
      </c>
      <c r="BO15" s="68">
        <f t="shared" si="1"/>
        <v>55545112.195193529</v>
      </c>
    </row>
  </sheetData>
  <mergeCells count="33">
    <mergeCell ref="H3:I3"/>
    <mergeCell ref="F3:G3"/>
    <mergeCell ref="D3:E3"/>
    <mergeCell ref="B3:C3"/>
    <mergeCell ref="J3:K3"/>
    <mergeCell ref="AF3:AG3"/>
    <mergeCell ref="AB3:AC3"/>
    <mergeCell ref="Z3:AA3"/>
    <mergeCell ref="X3:Y3"/>
    <mergeCell ref="R3:S3"/>
    <mergeCell ref="AD3:AE3"/>
    <mergeCell ref="N3:O3"/>
    <mergeCell ref="P3:Q3"/>
    <mergeCell ref="L3:M3"/>
    <mergeCell ref="T3:U3"/>
    <mergeCell ref="V3:W3"/>
    <mergeCell ref="BD3:BE3"/>
    <mergeCell ref="BB3:BC3"/>
    <mergeCell ref="AZ3:BA3"/>
    <mergeCell ref="AX3:AY3"/>
    <mergeCell ref="AR3:AS3"/>
    <mergeCell ref="AT3:AU3"/>
    <mergeCell ref="AV3:AW3"/>
    <mergeCell ref="AP3:AQ3"/>
    <mergeCell ref="AL3:AM3"/>
    <mergeCell ref="AJ3:AK3"/>
    <mergeCell ref="AH3:AI3"/>
    <mergeCell ref="AN3:AO3"/>
    <mergeCell ref="BF3:BG3"/>
    <mergeCell ref="BN3:BO3"/>
    <mergeCell ref="BL3:BM3"/>
    <mergeCell ref="BJ3:BK3"/>
    <mergeCell ref="BH3:B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38.85546875" style="23" customWidth="1"/>
    <col min="2" max="33" width="16" style="23" customWidth="1"/>
    <col min="34" max="34" width="16" style="7" customWidth="1"/>
    <col min="35" max="16384" width="9.140625" style="23"/>
  </cols>
  <sheetData>
    <row r="1" spans="1:34" ht="18.75" x14ac:dyDescent="0.3">
      <c r="A1" s="12" t="s">
        <v>298</v>
      </c>
    </row>
    <row r="2" spans="1:34" x14ac:dyDescent="0.25">
      <c r="A2" s="13" t="s">
        <v>34</v>
      </c>
    </row>
    <row r="3" spans="1:34" x14ac:dyDescent="0.25">
      <c r="A3" s="1" t="s">
        <v>0</v>
      </c>
      <c r="B3" s="102" t="s">
        <v>1</v>
      </c>
      <c r="C3" s="102" t="s">
        <v>282</v>
      </c>
      <c r="D3" s="102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304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100" t="s">
        <v>288</v>
      </c>
      <c r="AE3" s="100" t="s">
        <v>289</v>
      </c>
      <c r="AF3" s="100" t="s">
        <v>19</v>
      </c>
      <c r="AG3" s="102" t="s">
        <v>20</v>
      </c>
      <c r="AH3" s="99" t="s">
        <v>21</v>
      </c>
    </row>
    <row r="4" spans="1:34" x14ac:dyDescent="0.25">
      <c r="A4" s="14" t="s">
        <v>43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68"/>
    </row>
    <row r="5" spans="1:34" x14ac:dyDescent="0.25">
      <c r="A5" s="21" t="s">
        <v>44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69">
        <f t="shared" ref="AH5:AH12" si="0">SUM(B5:AG5)</f>
        <v>0</v>
      </c>
    </row>
    <row r="6" spans="1:34" x14ac:dyDescent="0.25">
      <c r="A6" s="21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>
        <f t="shared" si="0"/>
        <v>0</v>
      </c>
    </row>
    <row r="7" spans="1:34" x14ac:dyDescent="0.25">
      <c r="A7" s="21" t="s">
        <v>46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98">
        <v>231070</v>
      </c>
      <c r="U7" s="25"/>
      <c r="V7" s="25"/>
      <c r="W7" s="25"/>
      <c r="X7" s="25"/>
      <c r="Y7" s="25"/>
      <c r="Z7" s="25"/>
      <c r="AA7" s="25"/>
      <c r="AB7" s="25"/>
      <c r="AC7" s="25"/>
      <c r="AD7" s="25">
        <v>2682428</v>
      </c>
      <c r="AE7" s="25"/>
      <c r="AF7" s="25">
        <v>1341074</v>
      </c>
      <c r="AG7" s="25"/>
      <c r="AH7" s="69">
        <f t="shared" si="0"/>
        <v>4254572</v>
      </c>
    </row>
    <row r="8" spans="1:34" x14ac:dyDescent="0.25">
      <c r="A8" s="21" t="s">
        <v>47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69">
        <f t="shared" si="0"/>
        <v>0</v>
      </c>
    </row>
    <row r="9" spans="1:34" x14ac:dyDescent="0.25">
      <c r="A9" s="21" t="s">
        <v>48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69">
        <f t="shared" si="0"/>
        <v>0</v>
      </c>
    </row>
    <row r="10" spans="1:34" x14ac:dyDescent="0.25">
      <c r="A10" s="21" t="s">
        <v>49</v>
      </c>
      <c r="B10" s="25"/>
      <c r="C10" s="25"/>
      <c r="D10" s="25">
        <v>144161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>
        <v>526299</v>
      </c>
      <c r="AE10" s="25">
        <f>1146115+262249</f>
        <v>1408364</v>
      </c>
      <c r="AF10" s="25">
        <v>473932</v>
      </c>
      <c r="AG10" s="25"/>
      <c r="AH10" s="69">
        <f t="shared" si="0"/>
        <v>2552756</v>
      </c>
    </row>
    <row r="11" spans="1:34" x14ac:dyDescent="0.25">
      <c r="A11" s="21" t="s">
        <v>50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>
        <v>44987</v>
      </c>
      <c r="R11" s="25"/>
      <c r="S11" s="25"/>
      <c r="T11" s="98">
        <v>135560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>
        <v>64299</v>
      </c>
      <c r="AF11" s="25">
        <v>120781</v>
      </c>
      <c r="AG11" s="25"/>
      <c r="AH11" s="69">
        <f t="shared" si="0"/>
        <v>365627</v>
      </c>
    </row>
    <row r="12" spans="1:34" s="7" customFormat="1" x14ac:dyDescent="0.25">
      <c r="A12" s="3" t="s">
        <v>42</v>
      </c>
      <c r="B12" s="10">
        <f>SUM(B5:B11)</f>
        <v>0</v>
      </c>
      <c r="C12" s="10">
        <f t="shared" ref="C12:AG12" si="1">SUM(C5:C11)</f>
        <v>0</v>
      </c>
      <c r="D12" s="10">
        <f t="shared" si="1"/>
        <v>144161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44987</v>
      </c>
      <c r="R12" s="10">
        <f t="shared" si="1"/>
        <v>0</v>
      </c>
      <c r="S12" s="10">
        <f t="shared" si="1"/>
        <v>0</v>
      </c>
      <c r="T12" s="10">
        <f t="shared" si="1"/>
        <v>366630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>
        <f t="shared" si="1"/>
        <v>0</v>
      </c>
      <c r="AA12" s="10">
        <f t="shared" si="1"/>
        <v>0</v>
      </c>
      <c r="AB12" s="10">
        <f t="shared" si="1"/>
        <v>0</v>
      </c>
      <c r="AC12" s="10">
        <f t="shared" si="1"/>
        <v>0</v>
      </c>
      <c r="AD12" s="10">
        <f t="shared" si="1"/>
        <v>3208727</v>
      </c>
      <c r="AE12" s="10">
        <f>SUM(AE5:AE11)</f>
        <v>1472663</v>
      </c>
      <c r="AF12" s="10">
        <f t="shared" si="1"/>
        <v>1935787</v>
      </c>
      <c r="AG12" s="10">
        <f t="shared" si="1"/>
        <v>0</v>
      </c>
      <c r="AH12" s="68">
        <f t="shared" si="0"/>
        <v>7172955</v>
      </c>
    </row>
    <row r="13" spans="1:34" x14ac:dyDescent="0.25">
      <c r="A13" s="14" t="s">
        <v>51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68"/>
    </row>
    <row r="14" spans="1:34" x14ac:dyDescent="0.25">
      <c r="A14" s="21" t="s">
        <v>52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98">
        <v>71330</v>
      </c>
      <c r="U14" s="25"/>
      <c r="V14" s="25"/>
      <c r="W14" s="25"/>
      <c r="X14" s="25"/>
      <c r="Y14" s="25"/>
      <c r="Z14" s="25"/>
      <c r="AA14" s="25"/>
      <c r="AB14" s="25"/>
      <c r="AC14" s="25"/>
      <c r="AD14" s="25">
        <v>285183</v>
      </c>
      <c r="AE14" s="25">
        <v>180500</v>
      </c>
      <c r="AF14" s="25">
        <v>473932</v>
      </c>
      <c r="AG14" s="25"/>
      <c r="AH14" s="69">
        <f t="shared" ref="AH14:AH19" si="2">SUM(B14:AG14)</f>
        <v>1010945</v>
      </c>
    </row>
    <row r="15" spans="1:34" x14ac:dyDescent="0.25">
      <c r="A15" s="21" t="s">
        <v>53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69">
        <f t="shared" si="2"/>
        <v>0</v>
      </c>
    </row>
    <row r="16" spans="1:34" x14ac:dyDescent="0.25">
      <c r="A16" s="21" t="s">
        <v>54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69">
        <f t="shared" si="2"/>
        <v>0</v>
      </c>
    </row>
    <row r="17" spans="1:34" x14ac:dyDescent="0.25">
      <c r="A17" s="21" t="s">
        <v>55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98">
        <v>294661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>
        <v>146048</v>
      </c>
      <c r="AF17" s="25">
        <v>168706</v>
      </c>
      <c r="AG17" s="25"/>
      <c r="AH17" s="69">
        <f t="shared" si="2"/>
        <v>609415</v>
      </c>
    </row>
    <row r="18" spans="1:34" x14ac:dyDescent="0.25">
      <c r="A18" s="21" t="s">
        <v>56</v>
      </c>
      <c r="B18" s="25"/>
      <c r="C18" s="25"/>
      <c r="D18" s="25">
        <v>144161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44987</v>
      </c>
      <c r="R18" s="25"/>
      <c r="S18" s="25"/>
      <c r="T18" s="98">
        <v>639</v>
      </c>
      <c r="U18" s="25"/>
      <c r="V18" s="25"/>
      <c r="W18" s="25"/>
      <c r="X18" s="25"/>
      <c r="Y18" s="25"/>
      <c r="Z18" s="25"/>
      <c r="AA18" s="25"/>
      <c r="AB18" s="25"/>
      <c r="AC18" s="25"/>
      <c r="AD18" s="25">
        <v>2923545</v>
      </c>
      <c r="AE18" s="25">
        <v>1146115</v>
      </c>
      <c r="AF18" s="25">
        <v>1293149</v>
      </c>
      <c r="AG18" s="25"/>
      <c r="AH18" s="69">
        <f t="shared" si="2"/>
        <v>5552596</v>
      </c>
    </row>
    <row r="19" spans="1:34" s="7" customFormat="1" x14ac:dyDescent="0.25">
      <c r="A19" s="3" t="s">
        <v>42</v>
      </c>
      <c r="B19" s="10">
        <f>SUM(B14:B18)</f>
        <v>0</v>
      </c>
      <c r="C19" s="10">
        <f t="shared" ref="C19:AG19" si="3">SUM(C14:C18)</f>
        <v>0</v>
      </c>
      <c r="D19" s="10">
        <f t="shared" si="3"/>
        <v>144161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44987</v>
      </c>
      <c r="R19" s="10">
        <f t="shared" si="3"/>
        <v>0</v>
      </c>
      <c r="S19" s="10">
        <f t="shared" si="3"/>
        <v>0</v>
      </c>
      <c r="T19" s="10">
        <f t="shared" si="3"/>
        <v>366630</v>
      </c>
      <c r="U19" s="10">
        <f t="shared" si="3"/>
        <v>0</v>
      </c>
      <c r="V19" s="10">
        <f t="shared" si="3"/>
        <v>0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0</v>
      </c>
      <c r="AA19" s="10">
        <f t="shared" si="3"/>
        <v>0</v>
      </c>
      <c r="AB19" s="10">
        <f t="shared" si="3"/>
        <v>0</v>
      </c>
      <c r="AC19" s="10">
        <f t="shared" si="3"/>
        <v>0</v>
      </c>
      <c r="AD19" s="10">
        <f t="shared" si="3"/>
        <v>3208728</v>
      </c>
      <c r="AE19" s="10">
        <f t="shared" si="3"/>
        <v>1472663</v>
      </c>
      <c r="AF19" s="10">
        <f t="shared" si="3"/>
        <v>1935787</v>
      </c>
      <c r="AG19" s="10">
        <f t="shared" si="3"/>
        <v>0</v>
      </c>
      <c r="AH19" s="68">
        <f t="shared" si="2"/>
        <v>7172956</v>
      </c>
    </row>
    <row r="20" spans="1:34" x14ac:dyDescent="0.25">
      <c r="A20" s="14" t="s">
        <v>57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68"/>
    </row>
    <row r="21" spans="1:34" x14ac:dyDescent="0.25">
      <c r="A21" s="21" t="s">
        <v>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69">
        <f t="shared" ref="AH21:AH28" si="4">SUM(B21:AG21)</f>
        <v>0</v>
      </c>
    </row>
    <row r="22" spans="1:34" x14ac:dyDescent="0.25">
      <c r="A22" s="21" t="s">
        <v>46</v>
      </c>
      <c r="B22" s="25"/>
      <c r="C22" s="25"/>
      <c r="D22" s="25">
        <v>144161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44987</v>
      </c>
      <c r="R22" s="25"/>
      <c r="S22" s="25"/>
      <c r="T22" s="98">
        <v>76327</v>
      </c>
      <c r="U22" s="25"/>
      <c r="V22" s="25"/>
      <c r="W22" s="25"/>
      <c r="X22" s="25"/>
      <c r="Y22" s="25"/>
      <c r="Z22" s="25"/>
      <c r="AA22" s="25"/>
      <c r="AB22" s="25"/>
      <c r="AC22" s="25"/>
      <c r="AD22" s="25">
        <v>3208727</v>
      </c>
      <c r="AE22" s="25">
        <v>1330103</v>
      </c>
      <c r="AF22" s="25">
        <v>1759603</v>
      </c>
      <c r="AG22" s="25"/>
      <c r="AH22" s="69">
        <f t="shared" si="4"/>
        <v>6563908</v>
      </c>
    </row>
    <row r="23" spans="1:34" x14ac:dyDescent="0.25">
      <c r="A23" s="21" t="s">
        <v>47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9">
        <f t="shared" si="4"/>
        <v>0</v>
      </c>
    </row>
    <row r="24" spans="1:34" x14ac:dyDescent="0.25">
      <c r="A24" s="21" t="s">
        <v>59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69">
        <f t="shared" si="4"/>
        <v>0</v>
      </c>
    </row>
    <row r="25" spans="1:34" x14ac:dyDescent="0.25">
      <c r="A25" s="21" t="s">
        <v>46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98">
        <v>290303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>
        <v>176184</v>
      </c>
      <c r="AG25" s="25"/>
      <c r="AH25" s="69">
        <f t="shared" si="4"/>
        <v>466487</v>
      </c>
    </row>
    <row r="26" spans="1:34" x14ac:dyDescent="0.25">
      <c r="A26" s="21" t="s">
        <v>47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69">
        <f t="shared" si="4"/>
        <v>0</v>
      </c>
    </row>
    <row r="27" spans="1:34" x14ac:dyDescent="0.25">
      <c r="A27" s="21" t="s">
        <v>60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>
        <v>142560</v>
      </c>
      <c r="AF27" s="25"/>
      <c r="AG27" s="25"/>
      <c r="AH27" s="69">
        <f t="shared" si="4"/>
        <v>142560</v>
      </c>
    </row>
    <row r="28" spans="1:34" s="7" customFormat="1" x14ac:dyDescent="0.25">
      <c r="A28" s="3" t="s">
        <v>42</v>
      </c>
      <c r="B28" s="10">
        <f>SUM(B21:B27)</f>
        <v>0</v>
      </c>
      <c r="C28" s="10">
        <f t="shared" ref="C28:AG28" si="5">SUM(C21:C27)</f>
        <v>0</v>
      </c>
      <c r="D28" s="10">
        <f t="shared" si="5"/>
        <v>144161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44987</v>
      </c>
      <c r="R28" s="10">
        <f t="shared" si="5"/>
        <v>0</v>
      </c>
      <c r="S28" s="10">
        <f t="shared" si="5"/>
        <v>0</v>
      </c>
      <c r="T28" s="10">
        <f t="shared" si="5"/>
        <v>366630</v>
      </c>
      <c r="U28" s="10">
        <f t="shared" si="5"/>
        <v>0</v>
      </c>
      <c r="V28" s="10">
        <f t="shared" si="5"/>
        <v>0</v>
      </c>
      <c r="W28" s="10">
        <f t="shared" si="5"/>
        <v>0</v>
      </c>
      <c r="X28" s="10">
        <f t="shared" si="5"/>
        <v>0</v>
      </c>
      <c r="Y28" s="10">
        <f t="shared" si="5"/>
        <v>0</v>
      </c>
      <c r="Z28" s="10">
        <f t="shared" si="5"/>
        <v>0</v>
      </c>
      <c r="AA28" s="10">
        <f t="shared" si="5"/>
        <v>0</v>
      </c>
      <c r="AB28" s="10">
        <f t="shared" si="5"/>
        <v>0</v>
      </c>
      <c r="AC28" s="10">
        <f t="shared" si="5"/>
        <v>0</v>
      </c>
      <c r="AD28" s="10">
        <f t="shared" si="5"/>
        <v>3208727</v>
      </c>
      <c r="AE28" s="10">
        <f t="shared" si="5"/>
        <v>1472663</v>
      </c>
      <c r="AF28" s="10">
        <f t="shared" si="5"/>
        <v>1935787</v>
      </c>
      <c r="AG28" s="10">
        <f t="shared" si="5"/>
        <v>0</v>
      </c>
      <c r="AH28" s="68">
        <f t="shared" si="4"/>
        <v>7172955</v>
      </c>
    </row>
    <row r="29" spans="1:34" x14ac:dyDescent="0.25">
      <c r="A29" s="14" t="s">
        <v>61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68"/>
    </row>
    <row r="30" spans="1:34" x14ac:dyDescent="0.25">
      <c r="A30" s="21" t="s">
        <v>62</v>
      </c>
      <c r="B30" s="25"/>
      <c r="C30" s="25"/>
      <c r="D30" s="25">
        <v>22824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98">
        <v>1072</v>
      </c>
      <c r="U30" s="25"/>
      <c r="V30" s="25"/>
      <c r="W30" s="25"/>
      <c r="X30" s="25"/>
      <c r="Y30" s="25"/>
      <c r="Z30" s="25"/>
      <c r="AA30" s="25"/>
      <c r="AB30" s="25"/>
      <c r="AC30" s="25"/>
      <c r="AD30" s="25">
        <v>62748</v>
      </c>
      <c r="AE30" s="25">
        <v>45520</v>
      </c>
      <c r="AF30" s="25">
        <v>91031</v>
      </c>
      <c r="AG30" s="25"/>
      <c r="AH30" s="69">
        <f>SUM(B30:AG30)</f>
        <v>223195</v>
      </c>
    </row>
    <row r="31" spans="1:34" x14ac:dyDescent="0.25">
      <c r="A31" s="21" t="s">
        <v>63</v>
      </c>
      <c r="B31" s="25"/>
      <c r="C31" s="25"/>
      <c r="D31" s="25">
        <v>121337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44987</v>
      </c>
      <c r="R31" s="25"/>
      <c r="S31" s="25"/>
      <c r="T31" s="98">
        <v>365558</v>
      </c>
      <c r="U31" s="25"/>
      <c r="V31" s="25"/>
      <c r="W31" s="25"/>
      <c r="X31" s="25"/>
      <c r="Y31" s="25"/>
      <c r="Z31" s="25"/>
      <c r="AA31" s="25"/>
      <c r="AB31" s="25"/>
      <c r="AC31" s="25"/>
      <c r="AD31" s="25">
        <v>3145979</v>
      </c>
      <c r="AE31" s="25">
        <v>1427143</v>
      </c>
      <c r="AF31" s="25">
        <v>1844756</v>
      </c>
      <c r="AG31" s="25"/>
      <c r="AH31" s="69">
        <f>SUM(B31:AG31)</f>
        <v>6949760</v>
      </c>
    </row>
    <row r="32" spans="1:34" s="7" customFormat="1" x14ac:dyDescent="0.25">
      <c r="A32" s="3" t="s">
        <v>42</v>
      </c>
      <c r="B32" s="10">
        <f>SUM(B30:B31)</f>
        <v>0</v>
      </c>
      <c r="C32" s="10">
        <f t="shared" ref="C32:AG32" si="6">SUM(C30:C31)</f>
        <v>0</v>
      </c>
      <c r="D32" s="10">
        <f t="shared" si="6"/>
        <v>144161</v>
      </c>
      <c r="E32" s="10">
        <f t="shared" si="6"/>
        <v>0</v>
      </c>
      <c r="F32" s="10">
        <f t="shared" si="6"/>
        <v>0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  <c r="O32" s="10">
        <f t="shared" si="6"/>
        <v>0</v>
      </c>
      <c r="P32" s="10">
        <f t="shared" si="6"/>
        <v>0</v>
      </c>
      <c r="Q32" s="10">
        <f t="shared" si="6"/>
        <v>44987</v>
      </c>
      <c r="R32" s="10">
        <f t="shared" si="6"/>
        <v>0</v>
      </c>
      <c r="S32" s="10">
        <f t="shared" si="6"/>
        <v>0</v>
      </c>
      <c r="T32" s="10">
        <f t="shared" si="6"/>
        <v>366630</v>
      </c>
      <c r="U32" s="10">
        <f t="shared" si="6"/>
        <v>0</v>
      </c>
      <c r="V32" s="10">
        <f t="shared" si="6"/>
        <v>0</v>
      </c>
      <c r="W32" s="10">
        <f t="shared" si="6"/>
        <v>0</v>
      </c>
      <c r="X32" s="10">
        <f t="shared" si="6"/>
        <v>0</v>
      </c>
      <c r="Y32" s="10">
        <f t="shared" si="6"/>
        <v>0</v>
      </c>
      <c r="Z32" s="10">
        <f t="shared" si="6"/>
        <v>0</v>
      </c>
      <c r="AA32" s="10">
        <f t="shared" si="6"/>
        <v>0</v>
      </c>
      <c r="AB32" s="10">
        <f t="shared" si="6"/>
        <v>0</v>
      </c>
      <c r="AC32" s="10">
        <f t="shared" si="6"/>
        <v>0</v>
      </c>
      <c r="AD32" s="10">
        <f t="shared" si="6"/>
        <v>3208727</v>
      </c>
      <c r="AE32" s="10">
        <f t="shared" si="6"/>
        <v>1472663</v>
      </c>
      <c r="AF32" s="10">
        <f t="shared" si="6"/>
        <v>1935787</v>
      </c>
      <c r="AG32" s="10">
        <f t="shared" si="6"/>
        <v>0</v>
      </c>
      <c r="AH32" s="68">
        <f>SUM(B32:AG32)</f>
        <v>7172955</v>
      </c>
    </row>
    <row r="52" spans="31:31" x14ac:dyDescent="0.25">
      <c r="AE52" s="23">
        <v>1108872</v>
      </c>
    </row>
    <row r="53" spans="31:31" x14ac:dyDescent="0.25">
      <c r="AE53" s="23">
        <v>263612</v>
      </c>
    </row>
    <row r="54" spans="31:31" x14ac:dyDescent="0.25">
      <c r="AE54" s="23">
        <f>SUM(AE52:AE53)</f>
        <v>1372484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17" width="16" style="76" customWidth="1"/>
    <col min="18" max="18" width="18.140625" style="76" customWidth="1"/>
    <col min="19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299</v>
      </c>
    </row>
    <row r="2" spans="1:34" x14ac:dyDescent="0.25">
      <c r="A2" s="5" t="s">
        <v>34</v>
      </c>
    </row>
    <row r="3" spans="1:34" x14ac:dyDescent="0.25">
      <c r="A3" s="1" t="s">
        <v>0</v>
      </c>
      <c r="B3" s="102" t="s">
        <v>1</v>
      </c>
      <c r="C3" s="102" t="s">
        <v>282</v>
      </c>
      <c r="D3" s="102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314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100" t="s">
        <v>288</v>
      </c>
      <c r="AE3" s="100" t="s">
        <v>289</v>
      </c>
      <c r="AF3" s="100" t="s">
        <v>19</v>
      </c>
      <c r="AG3" s="102" t="s">
        <v>20</v>
      </c>
      <c r="AH3" s="99" t="s">
        <v>21</v>
      </c>
    </row>
    <row r="4" spans="1:34" x14ac:dyDescent="0.25">
      <c r="A4" s="2" t="s">
        <v>64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68">
        <f t="shared" ref="AH4:AH19" si="0">SUM(B4:AG4)</f>
        <v>0</v>
      </c>
    </row>
    <row r="5" spans="1:34" x14ac:dyDescent="0.25">
      <c r="A5" s="2" t="s">
        <v>65</v>
      </c>
      <c r="B5" s="84">
        <v>34839</v>
      </c>
      <c r="C5" s="84">
        <v>488203</v>
      </c>
      <c r="D5" s="84">
        <v>701726</v>
      </c>
      <c r="E5" s="84">
        <v>410825</v>
      </c>
      <c r="F5" s="84">
        <v>75707</v>
      </c>
      <c r="G5" s="84">
        <v>170267</v>
      </c>
      <c r="H5" s="84">
        <v>12605.91</v>
      </c>
      <c r="I5" s="84">
        <v>106890</v>
      </c>
      <c r="J5" s="84">
        <v>59270</v>
      </c>
      <c r="K5" s="84">
        <v>11016</v>
      </c>
      <c r="L5" s="84">
        <v>518357</v>
      </c>
      <c r="M5" s="84">
        <v>2190449</v>
      </c>
      <c r="N5" s="84">
        <v>209254</v>
      </c>
      <c r="O5" s="84">
        <v>29742</v>
      </c>
      <c r="P5" s="84">
        <v>112086</v>
      </c>
      <c r="Q5" s="84">
        <v>187744</v>
      </c>
      <c r="R5" s="84">
        <v>49887</v>
      </c>
      <c r="S5" s="84">
        <v>247675</v>
      </c>
      <c r="T5" s="84">
        <v>333821</v>
      </c>
      <c r="U5" s="84">
        <v>484</v>
      </c>
      <c r="V5" s="84">
        <v>12543</v>
      </c>
      <c r="W5" s="84">
        <v>111291</v>
      </c>
      <c r="X5" s="84">
        <v>276213</v>
      </c>
      <c r="Y5" s="84">
        <v>79779</v>
      </c>
      <c r="Z5" s="84">
        <v>582471</v>
      </c>
      <c r="AA5" s="84">
        <v>13545</v>
      </c>
      <c r="AB5" s="84">
        <v>221167</v>
      </c>
      <c r="AC5" s="84">
        <v>749596</v>
      </c>
      <c r="AD5" s="84">
        <v>194623</v>
      </c>
      <c r="AE5" s="84">
        <v>35153</v>
      </c>
      <c r="AF5" s="84">
        <v>10824</v>
      </c>
      <c r="AG5" s="84">
        <v>36183</v>
      </c>
      <c r="AH5" s="69">
        <f t="shared" si="0"/>
        <v>8274235.9100000001</v>
      </c>
    </row>
    <row r="6" spans="1:34" x14ac:dyDescent="0.25">
      <c r="A6" s="2" t="s">
        <v>66</v>
      </c>
      <c r="B6" s="84"/>
      <c r="C6" s="84"/>
      <c r="D6" s="84"/>
      <c r="E6" s="84">
        <v>888197</v>
      </c>
      <c r="F6" s="84"/>
      <c r="G6" s="84">
        <v>58718</v>
      </c>
      <c r="H6" s="84">
        <v>748152.33</v>
      </c>
      <c r="I6" s="84"/>
      <c r="J6" s="84"/>
      <c r="K6" s="84"/>
      <c r="L6" s="84"/>
      <c r="M6" s="84">
        <v>2411770</v>
      </c>
      <c r="N6" s="84">
        <v>37849</v>
      </c>
      <c r="O6" s="84"/>
      <c r="P6" s="84"/>
      <c r="Q6" s="84"/>
      <c r="R6" s="84"/>
      <c r="S6" s="84"/>
      <c r="T6" s="84">
        <v>6452</v>
      </c>
      <c r="U6" s="84"/>
      <c r="V6" s="84"/>
      <c r="W6" s="84"/>
      <c r="X6" s="84"/>
      <c r="Y6" s="84"/>
      <c r="Z6" s="84"/>
      <c r="AA6" s="84"/>
      <c r="AB6" s="84">
        <v>11600</v>
      </c>
      <c r="AC6" s="84">
        <v>44305</v>
      </c>
      <c r="AD6" s="84">
        <v>138059</v>
      </c>
      <c r="AE6" s="84">
        <v>59546</v>
      </c>
      <c r="AF6" s="84">
        <v>131793</v>
      </c>
      <c r="AG6" s="84"/>
      <c r="AH6" s="69">
        <f t="shared" si="0"/>
        <v>4536441.33</v>
      </c>
    </row>
    <row r="7" spans="1:34" x14ac:dyDescent="0.25">
      <c r="A7" s="2" t="s">
        <v>67</v>
      </c>
      <c r="B7" s="84"/>
      <c r="C7" s="84"/>
      <c r="D7" s="84">
        <v>936819</v>
      </c>
      <c r="E7" s="84"/>
      <c r="F7" s="84"/>
      <c r="G7" s="84"/>
      <c r="H7" s="84">
        <v>53659.23</v>
      </c>
      <c r="I7" s="84"/>
      <c r="J7" s="84"/>
      <c r="K7" s="84"/>
      <c r="L7" s="84">
        <v>30614</v>
      </c>
      <c r="M7" s="84"/>
      <c r="N7" s="84"/>
      <c r="O7" s="84"/>
      <c r="P7" s="84"/>
      <c r="Q7" s="84"/>
      <c r="R7" s="84"/>
      <c r="S7" s="84"/>
      <c r="T7" s="84">
        <v>290126</v>
      </c>
      <c r="U7" s="84"/>
      <c r="V7" s="84"/>
      <c r="W7" s="84"/>
      <c r="X7" s="84">
        <v>11983</v>
      </c>
      <c r="Y7" s="84"/>
      <c r="Z7" s="84"/>
      <c r="AA7" s="84">
        <v>209330</v>
      </c>
      <c r="AB7" s="84"/>
      <c r="AC7" s="84"/>
      <c r="AD7" s="84">
        <v>285635</v>
      </c>
      <c r="AE7" s="84"/>
      <c r="AF7" s="84">
        <v>19141</v>
      </c>
      <c r="AG7" s="84"/>
      <c r="AH7" s="69">
        <f t="shared" si="0"/>
        <v>1837307.23</v>
      </c>
    </row>
    <row r="8" spans="1:34" x14ac:dyDescent="0.25">
      <c r="A8" s="2" t="s">
        <v>68</v>
      </c>
      <c r="B8" s="84">
        <v>26</v>
      </c>
      <c r="C8" s="84">
        <v>93043</v>
      </c>
      <c r="D8" s="84"/>
      <c r="E8" s="84">
        <v>16901</v>
      </c>
      <c r="F8" s="84">
        <v>11052</v>
      </c>
      <c r="G8" s="84"/>
      <c r="H8" s="84"/>
      <c r="I8" s="84"/>
      <c r="J8" s="84">
        <v>39795</v>
      </c>
      <c r="K8" s="84">
        <v>47959</v>
      </c>
      <c r="L8" s="84"/>
      <c r="M8" s="84"/>
      <c r="N8" s="84"/>
      <c r="O8" s="84">
        <v>569</v>
      </c>
      <c r="P8" s="84">
        <v>18551</v>
      </c>
      <c r="Q8" s="84">
        <v>11643</v>
      </c>
      <c r="R8" s="84">
        <v>7383</v>
      </c>
      <c r="S8" s="84">
        <v>30215</v>
      </c>
      <c r="T8" s="84"/>
      <c r="U8" s="84">
        <v>22968</v>
      </c>
      <c r="V8" s="84">
        <v>8586</v>
      </c>
      <c r="W8" s="84">
        <v>20678</v>
      </c>
      <c r="X8" s="84"/>
      <c r="Y8" s="84">
        <v>43845</v>
      </c>
      <c r="Z8" s="84">
        <v>140970</v>
      </c>
      <c r="AA8" s="84">
        <v>9598</v>
      </c>
      <c r="AB8" s="84"/>
      <c r="AC8" s="84">
        <v>50244</v>
      </c>
      <c r="AD8" s="84"/>
      <c r="AE8" s="84">
        <v>650339</v>
      </c>
      <c r="AF8" s="84">
        <v>187625</v>
      </c>
      <c r="AG8" s="84">
        <v>183</v>
      </c>
      <c r="AH8" s="69">
        <f t="shared" si="0"/>
        <v>1412173</v>
      </c>
    </row>
    <row r="9" spans="1:34" x14ac:dyDescent="0.25">
      <c r="A9" s="2" t="s">
        <v>69</v>
      </c>
      <c r="B9" s="84"/>
      <c r="C9" s="84"/>
      <c r="D9" s="84">
        <v>247562</v>
      </c>
      <c r="E9" s="84">
        <v>2226359</v>
      </c>
      <c r="F9" s="84"/>
      <c r="G9" s="84">
        <v>316377</v>
      </c>
      <c r="H9" s="84">
        <v>284290.59000000003</v>
      </c>
      <c r="I9" s="84"/>
      <c r="J9" s="84"/>
      <c r="K9" s="84"/>
      <c r="L9" s="84">
        <v>1362691</v>
      </c>
      <c r="M9" s="84">
        <v>378938</v>
      </c>
      <c r="N9" s="84">
        <v>10086</v>
      </c>
      <c r="O9" s="84"/>
      <c r="P9" s="84"/>
      <c r="Q9" s="84"/>
      <c r="R9" s="84"/>
      <c r="S9" s="84"/>
      <c r="T9" s="84">
        <v>772504</v>
      </c>
      <c r="U9" s="84"/>
      <c r="V9" s="84"/>
      <c r="W9" s="84"/>
      <c r="X9" s="84"/>
      <c r="Y9" s="84"/>
      <c r="Z9" s="84"/>
      <c r="AA9" s="84">
        <v>143913</v>
      </c>
      <c r="AB9" s="84">
        <v>63332</v>
      </c>
      <c r="AC9" s="84">
        <v>762846</v>
      </c>
      <c r="AD9" s="84">
        <v>1223375</v>
      </c>
      <c r="AE9" s="84">
        <v>564865</v>
      </c>
      <c r="AF9" s="84">
        <v>352222</v>
      </c>
      <c r="AG9" s="84"/>
      <c r="AH9" s="69">
        <f t="shared" si="0"/>
        <v>8709360.5899999999</v>
      </c>
    </row>
    <row r="10" spans="1:34" x14ac:dyDescent="0.25">
      <c r="A10" s="2" t="s">
        <v>70</v>
      </c>
      <c r="B10" s="84">
        <v>488</v>
      </c>
      <c r="C10" s="84">
        <v>7595</v>
      </c>
      <c r="D10" s="84">
        <v>49730</v>
      </c>
      <c r="E10" s="84">
        <v>93674</v>
      </c>
      <c r="F10" s="84">
        <v>10268</v>
      </c>
      <c r="G10" s="84">
        <v>4778</v>
      </c>
      <c r="H10" s="84">
        <v>32422.11</v>
      </c>
      <c r="I10" s="84">
        <v>3790</v>
      </c>
      <c r="J10" s="84">
        <v>8329</v>
      </c>
      <c r="K10" s="84">
        <v>11326</v>
      </c>
      <c r="L10" s="84">
        <v>159894</v>
      </c>
      <c r="M10" s="84">
        <v>458829</v>
      </c>
      <c r="N10" s="84">
        <v>200490</v>
      </c>
      <c r="O10" s="84">
        <v>36</v>
      </c>
      <c r="P10" s="84">
        <v>1039</v>
      </c>
      <c r="Q10" s="84">
        <v>437</v>
      </c>
      <c r="R10" s="84">
        <v>3317</v>
      </c>
      <c r="S10" s="84">
        <v>7963</v>
      </c>
      <c r="T10" s="84">
        <v>97020</v>
      </c>
      <c r="U10" s="84">
        <v>5836</v>
      </c>
      <c r="V10" s="84">
        <v>4028</v>
      </c>
      <c r="W10" s="84">
        <v>20948</v>
      </c>
      <c r="X10" s="84">
        <v>250</v>
      </c>
      <c r="Y10" s="84">
        <v>9659</v>
      </c>
      <c r="Z10" s="84">
        <v>21023</v>
      </c>
      <c r="AA10" s="84">
        <v>37619</v>
      </c>
      <c r="AB10" s="84">
        <v>133562</v>
      </c>
      <c r="AC10" s="84">
        <v>10781</v>
      </c>
      <c r="AD10" s="84">
        <v>310795</v>
      </c>
      <c r="AE10" s="84">
        <v>84409</v>
      </c>
      <c r="AF10" s="84">
        <v>54523</v>
      </c>
      <c r="AG10" s="84">
        <v>13268</v>
      </c>
      <c r="AH10" s="69">
        <f t="shared" si="0"/>
        <v>1858126.1099999999</v>
      </c>
    </row>
    <row r="11" spans="1:34" x14ac:dyDescent="0.25">
      <c r="A11" s="2" t="s">
        <v>71</v>
      </c>
      <c r="B11" s="84">
        <v>10468</v>
      </c>
      <c r="C11" s="84">
        <v>77911</v>
      </c>
      <c r="D11" s="84">
        <v>271561</v>
      </c>
      <c r="E11" s="84">
        <v>359757</v>
      </c>
      <c r="F11" s="84">
        <v>69422</v>
      </c>
      <c r="G11" s="84">
        <v>72228</v>
      </c>
      <c r="H11" s="84">
        <v>23285.61</v>
      </c>
      <c r="I11" s="84">
        <v>3530</v>
      </c>
      <c r="J11" s="84">
        <v>79964</v>
      </c>
      <c r="K11" s="84">
        <v>91996</v>
      </c>
      <c r="L11" s="84">
        <v>356032</v>
      </c>
      <c r="M11" s="84">
        <v>258963</v>
      </c>
      <c r="N11" s="84">
        <v>142977</v>
      </c>
      <c r="O11" s="84">
        <v>22557</v>
      </c>
      <c r="P11" s="84">
        <v>41461</v>
      </c>
      <c r="Q11" s="84">
        <v>22763</v>
      </c>
      <c r="R11" s="84">
        <v>84448</v>
      </c>
      <c r="S11" s="84">
        <f>18013+49525</f>
        <v>67538</v>
      </c>
      <c r="T11" s="84">
        <f>477586+113444</f>
        <v>591030</v>
      </c>
      <c r="U11" s="84">
        <v>2</v>
      </c>
      <c r="V11" s="84">
        <v>10827</v>
      </c>
      <c r="W11" s="84">
        <v>56545</v>
      </c>
      <c r="X11" s="84">
        <v>133513</v>
      </c>
      <c r="Y11" s="84">
        <f>71991+26915</f>
        <v>98906</v>
      </c>
      <c r="Z11" s="84">
        <v>269349</v>
      </c>
      <c r="AA11" s="84">
        <v>25774</v>
      </c>
      <c r="AB11" s="84">
        <v>202495</v>
      </c>
      <c r="AC11" s="84">
        <v>351025</v>
      </c>
      <c r="AD11" s="84">
        <v>815259</v>
      </c>
      <c r="AE11" s="84">
        <v>490255</v>
      </c>
      <c r="AF11" s="84">
        <v>141491</v>
      </c>
      <c r="AG11" s="84">
        <v>251905</v>
      </c>
      <c r="AH11" s="69">
        <f t="shared" si="0"/>
        <v>5495237.6099999994</v>
      </c>
    </row>
    <row r="12" spans="1:34" x14ac:dyDescent="0.25">
      <c r="A12" s="2" t="s">
        <v>72</v>
      </c>
      <c r="B12" s="84"/>
      <c r="C12" s="84">
        <v>7737</v>
      </c>
      <c r="D12" s="84">
        <v>11211</v>
      </c>
      <c r="E12" s="84">
        <v>44824</v>
      </c>
      <c r="F12" s="84"/>
      <c r="G12" s="84">
        <v>14565</v>
      </c>
      <c r="H12" s="84">
        <v>1977.83</v>
      </c>
      <c r="I12" s="84"/>
      <c r="J12" s="84">
        <v>878</v>
      </c>
      <c r="K12" s="84"/>
      <c r="L12" s="84">
        <v>79899</v>
      </c>
      <c r="M12" s="84">
        <v>76481</v>
      </c>
      <c r="N12" s="84">
        <v>15896</v>
      </c>
      <c r="O12" s="84">
        <v>15918</v>
      </c>
      <c r="P12" s="84">
        <v>2494</v>
      </c>
      <c r="Q12" s="84">
        <v>4293</v>
      </c>
      <c r="R12" s="84"/>
      <c r="S12" s="84"/>
      <c r="T12" s="84">
        <v>386988</v>
      </c>
      <c r="U12" s="84"/>
      <c r="V12" s="84"/>
      <c r="W12" s="84">
        <v>8793</v>
      </c>
      <c r="X12" s="84"/>
      <c r="Y12" s="84">
        <v>2807</v>
      </c>
      <c r="Z12" s="84">
        <v>314</v>
      </c>
      <c r="AA12" s="84">
        <v>216</v>
      </c>
      <c r="AB12" s="84">
        <v>23398</v>
      </c>
      <c r="AC12" s="84">
        <v>29623</v>
      </c>
      <c r="AD12" s="84">
        <v>959242</v>
      </c>
      <c r="AE12" s="84">
        <v>412670</v>
      </c>
      <c r="AF12" s="84">
        <v>340199</v>
      </c>
      <c r="AG12" s="84">
        <v>8821</v>
      </c>
      <c r="AH12" s="69">
        <f t="shared" si="0"/>
        <v>2449244.83</v>
      </c>
    </row>
    <row r="13" spans="1:34" x14ac:dyDescent="0.25">
      <c r="A13" s="2" t="s">
        <v>73</v>
      </c>
      <c r="B13" s="84">
        <v>1313</v>
      </c>
      <c r="C13" s="84">
        <v>20720</v>
      </c>
      <c r="D13" s="84">
        <v>5220</v>
      </c>
      <c r="E13" s="84">
        <v>57300</v>
      </c>
      <c r="F13" s="84">
        <v>8928</v>
      </c>
      <c r="G13" s="84">
        <v>5802</v>
      </c>
      <c r="H13" s="84">
        <v>14269.2</v>
      </c>
      <c r="I13" s="84">
        <v>1922</v>
      </c>
      <c r="J13" s="84">
        <v>23785</v>
      </c>
      <c r="K13" s="84">
        <v>36300</v>
      </c>
      <c r="L13" s="84">
        <v>52193</v>
      </c>
      <c r="M13" s="84">
        <v>494202</v>
      </c>
      <c r="N13" s="84">
        <v>31779</v>
      </c>
      <c r="O13" s="84">
        <v>1105</v>
      </c>
      <c r="P13" s="84">
        <v>12795</v>
      </c>
      <c r="Q13" s="84">
        <v>657</v>
      </c>
      <c r="R13" s="84">
        <v>5835</v>
      </c>
      <c r="S13" s="84">
        <v>28780</v>
      </c>
      <c r="T13" s="84">
        <v>15781</v>
      </c>
      <c r="U13" s="84">
        <v>6339</v>
      </c>
      <c r="V13" s="84">
        <v>401</v>
      </c>
      <c r="W13" s="84">
        <v>41905</v>
      </c>
      <c r="X13" s="84">
        <v>25279</v>
      </c>
      <c r="Y13" s="84">
        <v>16549</v>
      </c>
      <c r="Z13" s="84">
        <v>49413</v>
      </c>
      <c r="AA13" s="84">
        <v>18565</v>
      </c>
      <c r="AB13" s="84">
        <v>77366</v>
      </c>
      <c r="AC13" s="84">
        <v>31649</v>
      </c>
      <c r="AD13" s="84">
        <v>20205</v>
      </c>
      <c r="AE13" s="84">
        <v>12316</v>
      </c>
      <c r="AF13" s="84">
        <v>18224</v>
      </c>
      <c r="AG13" s="84">
        <v>4830</v>
      </c>
      <c r="AH13" s="69">
        <f t="shared" si="0"/>
        <v>1141727.2</v>
      </c>
    </row>
    <row r="14" spans="1:34" x14ac:dyDescent="0.25">
      <c r="A14" s="2" t="s">
        <v>74</v>
      </c>
      <c r="B14" s="84"/>
      <c r="C14" s="84"/>
      <c r="D14" s="84">
        <v>4243</v>
      </c>
      <c r="E14" s="84"/>
      <c r="F14" s="84"/>
      <c r="G14" s="84">
        <v>8646</v>
      </c>
      <c r="H14" s="84"/>
      <c r="I14" s="84"/>
      <c r="J14" s="84"/>
      <c r="K14" s="84"/>
      <c r="L14" s="84"/>
      <c r="M14" s="84"/>
      <c r="N14" s="84"/>
      <c r="O14" s="84"/>
      <c r="P14" s="84"/>
      <c r="Q14" s="84">
        <v>3177</v>
      </c>
      <c r="R14" s="84"/>
      <c r="S14" s="84"/>
      <c r="T14" s="84">
        <v>84569</v>
      </c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>
        <v>62241</v>
      </c>
      <c r="AG14" s="84"/>
      <c r="AH14" s="69">
        <f t="shared" si="0"/>
        <v>162876</v>
      </c>
    </row>
    <row r="15" spans="1:34" x14ac:dyDescent="0.25">
      <c r="A15" s="2" t="s">
        <v>75</v>
      </c>
      <c r="B15" s="84">
        <f>B16-B14-B13-B12-B11-B10-B9-B8-B7-B6-B5-B4</f>
        <v>0</v>
      </c>
      <c r="C15" s="84">
        <f t="shared" ref="C15:AG15" si="1">C16-C14-C13-C12-C11-C10-C9-C8-C7-C6-C5-C4</f>
        <v>0</v>
      </c>
      <c r="D15" s="84">
        <f t="shared" si="1"/>
        <v>-2</v>
      </c>
      <c r="E15" s="84">
        <f t="shared" si="1"/>
        <v>1</v>
      </c>
      <c r="F15" s="84">
        <f t="shared" si="1"/>
        <v>0</v>
      </c>
      <c r="G15" s="84">
        <f t="shared" si="1"/>
        <v>27497</v>
      </c>
      <c r="H15" s="84">
        <f>H16-H14-H13-H12-H11-H10-H9-H8-H7-H6-H5-H4</f>
        <v>-2.0008883439004421E-10</v>
      </c>
      <c r="I15" s="84">
        <f t="shared" si="1"/>
        <v>972</v>
      </c>
      <c r="J15" s="84">
        <f t="shared" si="1"/>
        <v>-1</v>
      </c>
      <c r="K15" s="84">
        <f t="shared" si="1"/>
        <v>0</v>
      </c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0</v>
      </c>
      <c r="Q15" s="84">
        <f t="shared" si="1"/>
        <v>0</v>
      </c>
      <c r="R15" s="84">
        <f t="shared" si="1"/>
        <v>1</v>
      </c>
      <c r="S15" s="84">
        <f t="shared" si="1"/>
        <v>0</v>
      </c>
      <c r="T15" s="84">
        <f t="shared" si="1"/>
        <v>2009</v>
      </c>
      <c r="U15" s="84">
        <f t="shared" si="1"/>
        <v>0</v>
      </c>
      <c r="V15" s="84">
        <f t="shared" si="1"/>
        <v>0</v>
      </c>
      <c r="W15" s="84">
        <f t="shared" si="1"/>
        <v>32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1</v>
      </c>
      <c r="AB15" s="84">
        <f t="shared" si="1"/>
        <v>129</v>
      </c>
      <c r="AC15" s="84">
        <f t="shared" si="1"/>
        <v>0</v>
      </c>
      <c r="AD15" s="84">
        <f t="shared" si="1"/>
        <v>200785</v>
      </c>
      <c r="AE15" s="84">
        <f t="shared" si="1"/>
        <v>94691</v>
      </c>
      <c r="AF15" s="84">
        <f t="shared" si="1"/>
        <v>60643</v>
      </c>
      <c r="AG15" s="84">
        <f t="shared" si="1"/>
        <v>0</v>
      </c>
      <c r="AH15" s="69">
        <f t="shared" si="0"/>
        <v>386757.99999999977</v>
      </c>
    </row>
    <row r="16" spans="1:34" s="7" customFormat="1" x14ac:dyDescent="0.25">
      <c r="A16" s="3" t="s">
        <v>42</v>
      </c>
      <c r="B16" s="10">
        <v>47134</v>
      </c>
      <c r="C16" s="10">
        <v>695209</v>
      </c>
      <c r="D16" s="10">
        <v>2228070</v>
      </c>
      <c r="E16" s="10">
        <v>4097838</v>
      </c>
      <c r="F16" s="10">
        <v>175377</v>
      </c>
      <c r="G16" s="10">
        <v>678878</v>
      </c>
      <c r="H16" s="10">
        <v>1170662.81</v>
      </c>
      <c r="I16" s="10">
        <v>117104</v>
      </c>
      <c r="J16" s="10">
        <v>212020</v>
      </c>
      <c r="K16" s="10">
        <v>198597</v>
      </c>
      <c r="L16" s="10">
        <v>2559680</v>
      </c>
      <c r="M16" s="10">
        <v>6269632</v>
      </c>
      <c r="N16" s="10">
        <v>648331</v>
      </c>
      <c r="O16" s="10">
        <v>69927</v>
      </c>
      <c r="P16" s="10">
        <v>188426</v>
      </c>
      <c r="Q16" s="10">
        <v>230714</v>
      </c>
      <c r="R16" s="84">
        <v>150871</v>
      </c>
      <c r="S16" s="10">
        <v>382171</v>
      </c>
      <c r="T16" s="10">
        <v>2580300</v>
      </c>
      <c r="U16" s="10">
        <v>35629</v>
      </c>
      <c r="V16" s="10">
        <v>36385</v>
      </c>
      <c r="W16" s="10">
        <v>260192</v>
      </c>
      <c r="X16" s="10">
        <v>447238</v>
      </c>
      <c r="Y16" s="10">
        <v>251545</v>
      </c>
      <c r="Z16" s="10">
        <v>1063540</v>
      </c>
      <c r="AA16" s="10">
        <v>458561</v>
      </c>
      <c r="AB16" s="84">
        <v>733049</v>
      </c>
      <c r="AC16" s="10">
        <v>2030069</v>
      </c>
      <c r="AD16" s="10">
        <v>4147978</v>
      </c>
      <c r="AE16" s="10">
        <v>2404244</v>
      </c>
      <c r="AF16" s="10">
        <v>1378926</v>
      </c>
      <c r="AG16" s="10">
        <v>315190</v>
      </c>
      <c r="AH16" s="68">
        <f t="shared" si="0"/>
        <v>36263487.810000002</v>
      </c>
    </row>
    <row r="17" spans="1:34" x14ac:dyDescent="0.25">
      <c r="A17" s="2" t="s">
        <v>76</v>
      </c>
      <c r="B17" s="84"/>
      <c r="C17" s="80">
        <v>2679</v>
      </c>
      <c r="D17" s="84"/>
      <c r="E17" s="84">
        <v>191622</v>
      </c>
      <c r="F17" s="84">
        <v>22887</v>
      </c>
      <c r="G17" s="84">
        <v>29373</v>
      </c>
      <c r="H17" s="84">
        <v>1764252.34</v>
      </c>
      <c r="I17" s="84">
        <v>13097</v>
      </c>
      <c r="J17" s="84">
        <v>162383</v>
      </c>
      <c r="K17" s="84">
        <v>758015</v>
      </c>
      <c r="L17" s="84">
        <v>267997</v>
      </c>
      <c r="M17" s="84">
        <v>112016</v>
      </c>
      <c r="N17" s="84">
        <v>179003</v>
      </c>
      <c r="O17" s="84"/>
      <c r="P17" s="84">
        <v>192091</v>
      </c>
      <c r="Q17" s="84">
        <v>8901</v>
      </c>
      <c r="R17" s="84">
        <v>146749</v>
      </c>
      <c r="S17" s="84">
        <v>36639</v>
      </c>
      <c r="T17" s="84">
        <v>1110000</v>
      </c>
      <c r="U17" s="84">
        <v>673</v>
      </c>
      <c r="V17" s="84">
        <v>33268</v>
      </c>
      <c r="W17" s="84">
        <v>159790</v>
      </c>
      <c r="X17" s="84">
        <v>17355</v>
      </c>
      <c r="Y17" s="84">
        <v>2829</v>
      </c>
      <c r="Z17" s="84">
        <v>12740</v>
      </c>
      <c r="AA17" s="84"/>
      <c r="AB17" s="84">
        <v>207613</v>
      </c>
      <c r="AC17" s="84">
        <v>125197</v>
      </c>
      <c r="AD17" s="84">
        <v>256129</v>
      </c>
      <c r="AE17" s="84">
        <v>3225177</v>
      </c>
      <c r="AF17" s="84">
        <v>1201874</v>
      </c>
      <c r="AG17" s="84">
        <v>18215</v>
      </c>
      <c r="AH17" s="69">
        <f t="shared" si="0"/>
        <v>10258564.34</v>
      </c>
    </row>
    <row r="18" spans="1:34" ht="30" x14ac:dyDescent="0.25">
      <c r="A18" s="2" t="s">
        <v>77</v>
      </c>
      <c r="B18" s="84"/>
      <c r="C18" s="80">
        <v>208407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69">
        <f t="shared" si="0"/>
        <v>208407</v>
      </c>
    </row>
    <row r="19" spans="1:34" s="7" customFormat="1" x14ac:dyDescent="0.25">
      <c r="A19" s="3" t="s">
        <v>78</v>
      </c>
      <c r="B19" s="10">
        <f>B16+B17+B18</f>
        <v>47134</v>
      </c>
      <c r="C19" s="81">
        <f t="shared" ref="C19:AG19" si="2">C16+C17+C18</f>
        <v>906295</v>
      </c>
      <c r="D19" s="10">
        <f t="shared" si="2"/>
        <v>2228070</v>
      </c>
      <c r="E19" s="10">
        <f t="shared" si="2"/>
        <v>4289460</v>
      </c>
      <c r="F19" s="10">
        <f t="shared" si="2"/>
        <v>198264</v>
      </c>
      <c r="G19" s="10">
        <f t="shared" si="2"/>
        <v>708251</v>
      </c>
      <c r="H19" s="10">
        <f t="shared" si="2"/>
        <v>2934915.1500000004</v>
      </c>
      <c r="I19" s="10">
        <f t="shared" si="2"/>
        <v>130201</v>
      </c>
      <c r="J19" s="10">
        <f t="shared" si="2"/>
        <v>374403</v>
      </c>
      <c r="K19" s="10">
        <f t="shared" si="2"/>
        <v>956612</v>
      </c>
      <c r="L19" s="10">
        <f t="shared" si="2"/>
        <v>2827677</v>
      </c>
      <c r="M19" s="10">
        <f t="shared" si="2"/>
        <v>6381648</v>
      </c>
      <c r="N19" s="10">
        <f t="shared" si="2"/>
        <v>827334</v>
      </c>
      <c r="O19" s="10">
        <f t="shared" si="2"/>
        <v>69927</v>
      </c>
      <c r="P19" s="10">
        <f t="shared" si="2"/>
        <v>380517</v>
      </c>
      <c r="Q19" s="10">
        <f t="shared" si="2"/>
        <v>239615</v>
      </c>
      <c r="R19" s="10">
        <f t="shared" si="2"/>
        <v>297620</v>
      </c>
      <c r="S19" s="10">
        <f t="shared" si="2"/>
        <v>418810</v>
      </c>
      <c r="T19" s="10">
        <f t="shared" si="2"/>
        <v>3690300</v>
      </c>
      <c r="U19" s="10">
        <f t="shared" si="2"/>
        <v>36302</v>
      </c>
      <c r="V19" s="10">
        <f t="shared" si="2"/>
        <v>69653</v>
      </c>
      <c r="W19" s="10">
        <f t="shared" si="2"/>
        <v>419982</v>
      </c>
      <c r="X19" s="10">
        <f t="shared" si="2"/>
        <v>464593</v>
      </c>
      <c r="Y19" s="10">
        <f t="shared" si="2"/>
        <v>254374</v>
      </c>
      <c r="Z19" s="10">
        <f t="shared" si="2"/>
        <v>1076280</v>
      </c>
      <c r="AA19" s="10">
        <f t="shared" si="2"/>
        <v>458561</v>
      </c>
      <c r="AB19" s="10">
        <f t="shared" si="2"/>
        <v>940662</v>
      </c>
      <c r="AC19" s="10">
        <f t="shared" si="2"/>
        <v>2155266</v>
      </c>
      <c r="AD19" s="10">
        <f t="shared" si="2"/>
        <v>4404107</v>
      </c>
      <c r="AE19" s="10">
        <f t="shared" si="2"/>
        <v>5629421</v>
      </c>
      <c r="AF19" s="10">
        <f t="shared" si="2"/>
        <v>2580800</v>
      </c>
      <c r="AG19" s="10">
        <f t="shared" si="2"/>
        <v>333405</v>
      </c>
      <c r="AH19" s="68">
        <f t="shared" si="0"/>
        <v>46730459.149999999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6" customWidth="1"/>
    <col min="2" max="3" width="16" style="76" customWidth="1"/>
    <col min="4" max="4" width="16" style="47" customWidth="1"/>
    <col min="5" max="33" width="16" style="76" customWidth="1"/>
    <col min="34" max="34" width="16" style="54" customWidth="1"/>
    <col min="35" max="16384" width="9.140625" style="76"/>
  </cols>
  <sheetData>
    <row r="1" spans="1:34" ht="18.75" x14ac:dyDescent="0.3">
      <c r="A1" s="12" t="s">
        <v>300</v>
      </c>
    </row>
    <row r="2" spans="1:34" x14ac:dyDescent="0.25">
      <c r="A2" s="5" t="s">
        <v>34</v>
      </c>
    </row>
    <row r="3" spans="1:34" x14ac:dyDescent="0.25">
      <c r="A3" s="1" t="s">
        <v>0</v>
      </c>
      <c r="B3" s="102" t="s">
        <v>1</v>
      </c>
      <c r="C3" s="102" t="s">
        <v>282</v>
      </c>
      <c r="D3" s="100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304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82" t="s">
        <v>288</v>
      </c>
      <c r="AE3" s="100" t="s">
        <v>289</v>
      </c>
      <c r="AF3" s="100" t="s">
        <v>19</v>
      </c>
      <c r="AG3" s="102" t="s">
        <v>20</v>
      </c>
      <c r="AH3" s="99" t="s">
        <v>21</v>
      </c>
    </row>
    <row r="4" spans="1:34" ht="15" customHeight="1" x14ac:dyDescent="0.25">
      <c r="A4" s="2" t="s">
        <v>79</v>
      </c>
      <c r="B4" s="84">
        <v>719</v>
      </c>
      <c r="C4" s="84">
        <v>3091</v>
      </c>
      <c r="D4" s="50">
        <v>75</v>
      </c>
      <c r="E4" s="84">
        <v>5081</v>
      </c>
      <c r="F4" s="84">
        <v>2889</v>
      </c>
      <c r="G4" s="84">
        <v>55556</v>
      </c>
      <c r="H4" s="84">
        <v>383.85</v>
      </c>
      <c r="I4" s="84">
        <v>3848</v>
      </c>
      <c r="J4" s="84">
        <v>42173</v>
      </c>
      <c r="K4" s="84">
        <v>273933</v>
      </c>
      <c r="L4" s="84">
        <v>380234</v>
      </c>
      <c r="M4" s="84">
        <v>80512</v>
      </c>
      <c r="N4" s="84">
        <v>16059</v>
      </c>
      <c r="O4" s="84">
        <v>3613</v>
      </c>
      <c r="P4" s="84">
        <v>29915</v>
      </c>
      <c r="Q4" s="84">
        <v>5295</v>
      </c>
      <c r="R4" s="84">
        <v>5403</v>
      </c>
      <c r="S4" s="84">
        <v>9021</v>
      </c>
      <c r="T4" s="84">
        <v>108852</v>
      </c>
      <c r="U4" s="84">
        <v>3289</v>
      </c>
      <c r="V4" s="84">
        <v>83</v>
      </c>
      <c r="W4" s="84">
        <v>7447</v>
      </c>
      <c r="X4" s="84">
        <v>38684</v>
      </c>
      <c r="Y4" s="84">
        <v>34144</v>
      </c>
      <c r="Z4" s="84">
        <v>51158</v>
      </c>
      <c r="AA4" s="84">
        <v>8908</v>
      </c>
      <c r="AB4" s="84">
        <v>1005054</v>
      </c>
      <c r="AC4" s="84">
        <v>107318</v>
      </c>
      <c r="AD4" s="84">
        <v>21179</v>
      </c>
      <c r="AE4" s="84">
        <v>50708</v>
      </c>
      <c r="AF4" s="84">
        <v>128295</v>
      </c>
      <c r="AG4" s="84">
        <v>4445</v>
      </c>
      <c r="AH4" s="69">
        <f t="shared" ref="AH4:AH16" si="0">SUM(B4:AG4)</f>
        <v>2487364.85</v>
      </c>
    </row>
    <row r="5" spans="1:34" x14ac:dyDescent="0.25">
      <c r="A5" s="2" t="s">
        <v>80</v>
      </c>
      <c r="B5" s="84"/>
      <c r="C5" s="84"/>
      <c r="D5" s="50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69">
        <f t="shared" si="0"/>
        <v>0</v>
      </c>
    </row>
    <row r="6" spans="1:34" x14ac:dyDescent="0.25">
      <c r="A6" s="2" t="s">
        <v>81</v>
      </c>
      <c r="B6" s="84"/>
      <c r="C6" s="84"/>
      <c r="D6" s="50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69">
        <f t="shared" si="0"/>
        <v>0</v>
      </c>
    </row>
    <row r="7" spans="1:34" ht="15" customHeight="1" x14ac:dyDescent="0.25">
      <c r="A7" s="2" t="s">
        <v>82</v>
      </c>
      <c r="B7" s="84"/>
      <c r="C7" s="84">
        <v>651</v>
      </c>
      <c r="D7" s="50">
        <v>54343569</v>
      </c>
      <c r="E7" s="84">
        <v>1793119</v>
      </c>
      <c r="F7" s="84">
        <v>223357</v>
      </c>
      <c r="G7" s="84"/>
      <c r="H7" s="84">
        <v>14649479</v>
      </c>
      <c r="I7" s="84"/>
      <c r="J7" s="84"/>
      <c r="K7" s="84"/>
      <c r="L7" s="84">
        <v>50235</v>
      </c>
      <c r="M7" s="84">
        <v>1090</v>
      </c>
      <c r="N7" s="84"/>
      <c r="O7" s="84"/>
      <c r="P7" s="84">
        <v>59607</v>
      </c>
      <c r="Q7" s="84"/>
      <c r="R7" s="84">
        <v>371300</v>
      </c>
      <c r="S7" s="84">
        <v>100000</v>
      </c>
      <c r="T7" s="84">
        <v>2137711</v>
      </c>
      <c r="U7" s="84">
        <v>1031</v>
      </c>
      <c r="V7" s="84"/>
      <c r="W7" s="84">
        <v>15274</v>
      </c>
      <c r="X7" s="84">
        <v>9244</v>
      </c>
      <c r="Y7" s="84"/>
      <c r="Z7" s="84"/>
      <c r="AA7" s="84"/>
      <c r="AB7" s="84">
        <v>1584800</v>
      </c>
      <c r="AC7" s="84"/>
      <c r="AD7" s="84">
        <v>8424477</v>
      </c>
      <c r="AE7" s="84">
        <v>15160273</v>
      </c>
      <c r="AF7" s="84">
        <v>23496801</v>
      </c>
      <c r="AG7" s="84"/>
      <c r="AH7" s="69">
        <f t="shared" si="0"/>
        <v>122422018</v>
      </c>
    </row>
    <row r="8" spans="1:34" x14ac:dyDescent="0.25">
      <c r="A8" s="2" t="s">
        <v>83</v>
      </c>
      <c r="B8" s="84"/>
      <c r="C8" s="84">
        <f>3200+482</f>
        <v>3682</v>
      </c>
      <c r="D8" s="50"/>
      <c r="E8" s="84"/>
      <c r="F8" s="84"/>
      <c r="G8" s="84"/>
      <c r="H8" s="84">
        <v>3173100</v>
      </c>
      <c r="I8" s="84"/>
      <c r="J8" s="84">
        <v>1885</v>
      </c>
      <c r="K8" s="84"/>
      <c r="L8" s="84">
        <v>4346</v>
      </c>
      <c r="M8" s="84"/>
      <c r="N8" s="84"/>
      <c r="O8" s="84">
        <v>10000</v>
      </c>
      <c r="P8" s="84"/>
      <c r="Q8" s="84"/>
      <c r="R8" s="84">
        <v>2500</v>
      </c>
      <c r="S8" s="84"/>
      <c r="T8" s="84"/>
      <c r="U8" s="84"/>
      <c r="V8" s="84"/>
      <c r="W8" s="84"/>
      <c r="X8" s="84">
        <v>2500</v>
      </c>
      <c r="Y8" s="84"/>
      <c r="Z8" s="84"/>
      <c r="AA8" s="84"/>
      <c r="AB8" s="84">
        <v>649500</v>
      </c>
      <c r="AC8" s="84"/>
      <c r="AD8" s="84">
        <v>60069538</v>
      </c>
      <c r="AE8" s="84"/>
      <c r="AF8" s="84"/>
      <c r="AG8" s="84"/>
      <c r="AH8" s="69">
        <f t="shared" si="0"/>
        <v>63917051</v>
      </c>
    </row>
    <row r="9" spans="1:34" x14ac:dyDescent="0.25">
      <c r="A9" s="2" t="s">
        <v>84</v>
      </c>
      <c r="B9" s="84">
        <v>25768</v>
      </c>
      <c r="C9" s="84">
        <v>207172</v>
      </c>
      <c r="D9" s="50">
        <v>1395816</v>
      </c>
      <c r="E9" s="84">
        <v>3132399</v>
      </c>
      <c r="F9" s="84">
        <v>85316</v>
      </c>
      <c r="G9" s="84">
        <v>213707</v>
      </c>
      <c r="H9" s="84"/>
      <c r="I9" s="84">
        <v>57503</v>
      </c>
      <c r="J9" s="84">
        <v>526334</v>
      </c>
      <c r="K9" s="84">
        <v>377171</v>
      </c>
      <c r="L9" s="84">
        <v>2792892</v>
      </c>
      <c r="M9" s="84">
        <v>1052267</v>
      </c>
      <c r="N9" s="84">
        <v>335986</v>
      </c>
      <c r="O9" s="84">
        <v>129265</v>
      </c>
      <c r="P9" s="84">
        <v>34221</v>
      </c>
      <c r="Q9" s="84">
        <v>309435</v>
      </c>
      <c r="R9" s="84">
        <v>91648</v>
      </c>
      <c r="S9" s="84">
        <v>89672</v>
      </c>
      <c r="T9" s="84">
        <v>4423069</v>
      </c>
      <c r="U9" s="84">
        <v>58780</v>
      </c>
      <c r="V9" s="84">
        <v>161195</v>
      </c>
      <c r="W9" s="84">
        <v>1990827</v>
      </c>
      <c r="X9" s="84">
        <v>323999</v>
      </c>
      <c r="Y9" s="84">
        <v>332507</v>
      </c>
      <c r="Z9" s="84">
        <v>643886</v>
      </c>
      <c r="AA9" s="84">
        <v>312698</v>
      </c>
      <c r="AB9" s="84">
        <v>8476003</v>
      </c>
      <c r="AC9" s="84">
        <v>2605276</v>
      </c>
      <c r="AD9" s="84">
        <v>12325060</v>
      </c>
      <c r="AE9" s="84">
        <v>9698833</v>
      </c>
      <c r="AF9" s="84">
        <v>2988420</v>
      </c>
      <c r="AG9" s="84">
        <v>725208</v>
      </c>
      <c r="AH9" s="69">
        <f t="shared" si="0"/>
        <v>55922333</v>
      </c>
    </row>
    <row r="10" spans="1:34" x14ac:dyDescent="0.25">
      <c r="A10" s="2" t="s">
        <v>85</v>
      </c>
      <c r="B10" s="84"/>
      <c r="C10" s="84"/>
      <c r="D10" s="50"/>
      <c r="E10" s="84">
        <v>257224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>
        <v>287295</v>
      </c>
      <c r="X10" s="84"/>
      <c r="Y10" s="84"/>
      <c r="Z10" s="84"/>
      <c r="AA10" s="84">
        <v>19340</v>
      </c>
      <c r="AB10" s="84"/>
      <c r="AC10" s="84"/>
      <c r="AD10" s="84"/>
      <c r="AE10" s="84"/>
      <c r="AF10" s="84"/>
      <c r="AG10" s="84"/>
      <c r="AH10" s="69">
        <f t="shared" si="0"/>
        <v>563859</v>
      </c>
    </row>
    <row r="11" spans="1:34" x14ac:dyDescent="0.25">
      <c r="A11" s="2" t="s">
        <v>86</v>
      </c>
      <c r="B11" s="84"/>
      <c r="C11" s="84"/>
      <c r="D11" s="50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69">
        <f t="shared" si="0"/>
        <v>0</v>
      </c>
    </row>
    <row r="12" spans="1:34" x14ac:dyDescent="0.25">
      <c r="A12" s="2" t="s">
        <v>87</v>
      </c>
      <c r="B12" s="84"/>
      <c r="C12" s="84"/>
      <c r="D12" s="50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69">
        <f t="shared" si="0"/>
        <v>0</v>
      </c>
    </row>
    <row r="13" spans="1:34" x14ac:dyDescent="0.25">
      <c r="A13" s="2" t="s">
        <v>88</v>
      </c>
      <c r="B13" s="84"/>
      <c r="C13" s="84"/>
      <c r="D13" s="50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69">
        <f t="shared" si="0"/>
        <v>0</v>
      </c>
    </row>
    <row r="14" spans="1:34" x14ac:dyDescent="0.25">
      <c r="A14" s="2" t="s">
        <v>89</v>
      </c>
      <c r="B14" s="84"/>
      <c r="C14" s="84"/>
      <c r="D14" s="50"/>
      <c r="E14" s="84"/>
      <c r="F14" s="84"/>
      <c r="G14" s="84"/>
      <c r="H14" s="84">
        <v>45527.58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>
        <v>17468631</v>
      </c>
      <c r="AE14" s="84"/>
      <c r="AF14" s="84">
        <v>2999646</v>
      </c>
      <c r="AG14" s="84"/>
      <c r="AH14" s="69">
        <f t="shared" si="0"/>
        <v>20513804.579999998</v>
      </c>
    </row>
    <row r="15" spans="1:34" x14ac:dyDescent="0.25">
      <c r="A15" s="2" t="s">
        <v>32</v>
      </c>
      <c r="B15" s="84">
        <f>B16-B14-B13-B12-B11-B10-B9-B8-B7-B6-B5-B4</f>
        <v>9832</v>
      </c>
      <c r="C15" s="84">
        <f t="shared" ref="C15:AG15" si="1">C16-C14-C13-C12-C11-C10-C9-C8-C7-C6-C5-C4</f>
        <v>0</v>
      </c>
      <c r="D15" s="50">
        <f t="shared" si="1"/>
        <v>0</v>
      </c>
      <c r="E15" s="84">
        <f t="shared" si="1"/>
        <v>0</v>
      </c>
      <c r="F15" s="84">
        <f t="shared" si="1"/>
        <v>0</v>
      </c>
      <c r="G15" s="84">
        <f t="shared" si="1"/>
        <v>36137</v>
      </c>
      <c r="H15" s="84">
        <f t="shared" si="1"/>
        <v>100.00000000149009</v>
      </c>
      <c r="I15" s="84">
        <f t="shared" si="1"/>
        <v>0</v>
      </c>
      <c r="J15" s="84">
        <f t="shared" si="1"/>
        <v>1</v>
      </c>
      <c r="K15" s="84">
        <f t="shared" si="1"/>
        <v>0</v>
      </c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0</v>
      </c>
      <c r="Q15" s="84">
        <f t="shared" si="1"/>
        <v>0</v>
      </c>
      <c r="R15" s="84">
        <f t="shared" si="1"/>
        <v>0</v>
      </c>
      <c r="S15" s="84">
        <f t="shared" si="1"/>
        <v>0</v>
      </c>
      <c r="T15" s="84">
        <f t="shared" si="1"/>
        <v>5100</v>
      </c>
      <c r="U15" s="84">
        <f t="shared" si="1"/>
        <v>0</v>
      </c>
      <c r="V15" s="84">
        <f t="shared" si="1"/>
        <v>1</v>
      </c>
      <c r="W15" s="84">
        <f t="shared" si="1"/>
        <v>0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0</v>
      </c>
      <c r="AB15" s="84">
        <f t="shared" si="1"/>
        <v>0</v>
      </c>
      <c r="AC15" s="84">
        <f t="shared" si="1"/>
        <v>0</v>
      </c>
      <c r="AD15" s="84">
        <f t="shared" si="1"/>
        <v>0</v>
      </c>
      <c r="AE15" s="84">
        <f t="shared" si="1"/>
        <v>0</v>
      </c>
      <c r="AF15" s="84">
        <f t="shared" si="1"/>
        <v>0</v>
      </c>
      <c r="AG15" s="84">
        <f t="shared" si="1"/>
        <v>0</v>
      </c>
      <c r="AH15" s="69">
        <f t="shared" si="0"/>
        <v>51171.000000001492</v>
      </c>
    </row>
    <row r="16" spans="1:34" s="7" customFormat="1" x14ac:dyDescent="0.25">
      <c r="A16" s="3" t="s">
        <v>42</v>
      </c>
      <c r="B16" s="10">
        <v>36319</v>
      </c>
      <c r="C16" s="10">
        <v>214596</v>
      </c>
      <c r="D16" s="52">
        <v>55739460</v>
      </c>
      <c r="E16" s="10">
        <v>5187823</v>
      </c>
      <c r="F16" s="10">
        <v>311562</v>
      </c>
      <c r="G16" s="10">
        <v>305400</v>
      </c>
      <c r="H16" s="10">
        <v>17868590.43</v>
      </c>
      <c r="I16" s="10">
        <v>61351</v>
      </c>
      <c r="J16" s="10">
        <v>570393</v>
      </c>
      <c r="K16" s="10">
        <v>651104</v>
      </c>
      <c r="L16" s="10">
        <v>3227707</v>
      </c>
      <c r="M16" s="10">
        <v>1133869</v>
      </c>
      <c r="N16" s="10">
        <v>352045</v>
      </c>
      <c r="O16" s="10">
        <v>142878</v>
      </c>
      <c r="P16" s="10">
        <v>123743</v>
      </c>
      <c r="Q16" s="10">
        <v>314730</v>
      </c>
      <c r="R16" s="10">
        <v>470851</v>
      </c>
      <c r="S16" s="10">
        <v>198693</v>
      </c>
      <c r="T16" s="10">
        <v>6674732</v>
      </c>
      <c r="U16" s="10">
        <v>63100</v>
      </c>
      <c r="V16" s="10">
        <v>161279</v>
      </c>
      <c r="W16" s="10">
        <v>2300843</v>
      </c>
      <c r="X16" s="10">
        <v>374427</v>
      </c>
      <c r="Y16" s="10">
        <v>366651</v>
      </c>
      <c r="Z16" s="10">
        <v>695044</v>
      </c>
      <c r="AA16" s="10">
        <v>340946</v>
      </c>
      <c r="AB16" s="10">
        <v>11715357</v>
      </c>
      <c r="AC16" s="10">
        <v>2712594</v>
      </c>
      <c r="AD16" s="10">
        <v>98308885</v>
      </c>
      <c r="AE16" s="10">
        <v>24909814</v>
      </c>
      <c r="AF16" s="10">
        <v>29613162</v>
      </c>
      <c r="AG16" s="10">
        <v>729653</v>
      </c>
      <c r="AH16" s="68">
        <f t="shared" si="0"/>
        <v>265877601.43000001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6" customWidth="1"/>
    <col min="2" max="6" width="16" style="76" customWidth="1"/>
    <col min="7" max="7" width="18.140625" style="76" customWidth="1"/>
    <col min="8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301</v>
      </c>
    </row>
    <row r="2" spans="1:34" x14ac:dyDescent="0.25">
      <c r="A2" s="13" t="s">
        <v>34</v>
      </c>
    </row>
    <row r="3" spans="1:34" x14ac:dyDescent="0.25">
      <c r="A3" s="1" t="s">
        <v>0</v>
      </c>
      <c r="B3" s="102" t="s">
        <v>1</v>
      </c>
      <c r="C3" s="102" t="s">
        <v>282</v>
      </c>
      <c r="D3" s="102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304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82" t="s">
        <v>288</v>
      </c>
      <c r="AE3" s="100" t="s">
        <v>289</v>
      </c>
      <c r="AF3" s="100" t="s">
        <v>19</v>
      </c>
      <c r="AG3" s="102" t="s">
        <v>20</v>
      </c>
      <c r="AH3" s="99" t="s">
        <v>21</v>
      </c>
    </row>
    <row r="4" spans="1:34" x14ac:dyDescent="0.25">
      <c r="A4" s="2" t="s">
        <v>90</v>
      </c>
      <c r="B4" s="84">
        <v>36192</v>
      </c>
      <c r="C4" s="84">
        <v>142796</v>
      </c>
      <c r="D4" s="84"/>
      <c r="E4" s="84">
        <v>1265011</v>
      </c>
      <c r="F4" s="84">
        <v>221293</v>
      </c>
      <c r="G4" s="84">
        <v>254226</v>
      </c>
      <c r="H4" s="84">
        <v>813709.17</v>
      </c>
      <c r="I4" s="84">
        <v>11631</v>
      </c>
      <c r="J4" s="84">
        <v>152562</v>
      </c>
      <c r="K4" s="84">
        <v>353021</v>
      </c>
      <c r="L4" s="84">
        <v>459043</v>
      </c>
      <c r="M4" s="84">
        <v>109610</v>
      </c>
      <c r="N4" s="84">
        <v>626512</v>
      </c>
      <c r="O4" s="84">
        <v>30854</v>
      </c>
      <c r="P4" s="84">
        <v>214632</v>
      </c>
      <c r="Q4" s="84">
        <v>26418</v>
      </c>
      <c r="R4" s="84">
        <v>58805</v>
      </c>
      <c r="S4" s="84">
        <v>126341</v>
      </c>
      <c r="T4" s="84">
        <v>1381898</v>
      </c>
      <c r="U4" s="84">
        <v>16779</v>
      </c>
      <c r="V4" s="84">
        <v>43029</v>
      </c>
      <c r="W4" s="84">
        <v>307720</v>
      </c>
      <c r="X4" s="84">
        <v>193905</v>
      </c>
      <c r="Y4" s="84">
        <v>345084</v>
      </c>
      <c r="Z4" s="84">
        <v>576500</v>
      </c>
      <c r="AA4" s="84">
        <v>132376</v>
      </c>
      <c r="AB4" s="84">
        <v>321380</v>
      </c>
      <c r="AC4" s="84">
        <v>963235</v>
      </c>
      <c r="AD4" s="84">
        <v>2233556</v>
      </c>
      <c r="AE4" s="84">
        <v>1258530</v>
      </c>
      <c r="AF4" s="84">
        <v>1046721</v>
      </c>
      <c r="AG4" s="84">
        <v>153067</v>
      </c>
      <c r="AH4" s="69">
        <f t="shared" ref="AH4:AH15" si="0">SUM(B4:AG4)</f>
        <v>13876436.17</v>
      </c>
    </row>
    <row r="5" spans="1:34" ht="20.25" customHeight="1" x14ac:dyDescent="0.25">
      <c r="A5" s="2" t="s">
        <v>91</v>
      </c>
      <c r="B5" s="84">
        <v>597838</v>
      </c>
      <c r="C5" s="84">
        <v>1249367</v>
      </c>
      <c r="D5" s="84">
        <v>57269920</v>
      </c>
      <c r="E5" s="84">
        <v>19204796</v>
      </c>
      <c r="F5" s="84">
        <v>8424413</v>
      </c>
      <c r="G5" s="84">
        <v>2781591</v>
      </c>
      <c r="H5" s="84"/>
      <c r="I5" s="84">
        <v>211863</v>
      </c>
      <c r="J5" s="84">
        <v>7192988</v>
      </c>
      <c r="K5" s="84">
        <v>3686054</v>
      </c>
      <c r="L5" s="84">
        <v>28473996</v>
      </c>
      <c r="M5" s="84">
        <v>7296016</v>
      </c>
      <c r="N5" s="84">
        <v>12363089</v>
      </c>
      <c r="O5" s="84">
        <v>82816</v>
      </c>
      <c r="P5" s="84">
        <v>437979</v>
      </c>
      <c r="Q5" s="84">
        <v>356236</v>
      </c>
      <c r="R5" s="84">
        <v>34582</v>
      </c>
      <c r="S5" s="84">
        <v>925283</v>
      </c>
      <c r="T5" s="84">
        <v>38413828</v>
      </c>
      <c r="U5" s="84">
        <v>29380</v>
      </c>
      <c r="V5" s="84">
        <v>82254</v>
      </c>
      <c r="W5" s="84">
        <v>17673532</v>
      </c>
      <c r="X5" s="84">
        <v>102495</v>
      </c>
      <c r="Y5" s="84">
        <v>4076614</v>
      </c>
      <c r="Z5" s="84">
        <v>14327081</v>
      </c>
      <c r="AA5" s="84">
        <v>221721</v>
      </c>
      <c r="AB5" s="84">
        <v>106554</v>
      </c>
      <c r="AC5" s="84">
        <v>11698612</v>
      </c>
      <c r="AD5" s="84">
        <v>11678574</v>
      </c>
      <c r="AE5" s="84">
        <v>4505898</v>
      </c>
      <c r="AF5" s="84">
        <v>10127556</v>
      </c>
      <c r="AG5" s="84">
        <v>10213575</v>
      </c>
      <c r="AH5" s="69">
        <f t="shared" si="0"/>
        <v>273846501</v>
      </c>
    </row>
    <row r="6" spans="1:34" ht="15" customHeight="1" x14ac:dyDescent="0.25">
      <c r="A6" s="2" t="s">
        <v>92</v>
      </c>
      <c r="B6" s="84"/>
      <c r="C6" s="84"/>
      <c r="D6" s="84"/>
      <c r="E6" s="84"/>
      <c r="F6" s="84">
        <v>92658</v>
      </c>
      <c r="G6" s="84"/>
      <c r="H6" s="84"/>
      <c r="I6" s="84"/>
      <c r="J6" s="84"/>
      <c r="K6" s="84">
        <v>903658</v>
      </c>
      <c r="L6" s="84"/>
      <c r="M6" s="84">
        <v>154762</v>
      </c>
      <c r="N6" s="84"/>
      <c r="O6" s="84"/>
      <c r="P6" s="84"/>
      <c r="Q6" s="84">
        <v>1082464</v>
      </c>
      <c r="R6" s="84"/>
      <c r="S6" s="84"/>
      <c r="T6" s="84">
        <v>16029909</v>
      </c>
      <c r="U6" s="84"/>
      <c r="V6" s="84"/>
      <c r="W6" s="84"/>
      <c r="X6" s="84"/>
      <c r="Y6" s="84"/>
      <c r="Z6" s="84"/>
      <c r="AA6" s="84"/>
      <c r="AB6" s="84"/>
      <c r="AC6" s="84"/>
      <c r="AD6" s="84">
        <v>985179</v>
      </c>
      <c r="AE6" s="84">
        <v>739085</v>
      </c>
      <c r="AF6" s="84">
        <v>4822</v>
      </c>
      <c r="AG6" s="84"/>
      <c r="AH6" s="69">
        <f t="shared" si="0"/>
        <v>19992537</v>
      </c>
    </row>
    <row r="7" spans="1:34" ht="15" customHeight="1" x14ac:dyDescent="0.25">
      <c r="A7" s="2" t="s">
        <v>93</v>
      </c>
      <c r="B7" s="84">
        <v>466654</v>
      </c>
      <c r="C7" s="84">
        <v>124135</v>
      </c>
      <c r="D7" s="84"/>
      <c r="E7" s="84">
        <v>11562848</v>
      </c>
      <c r="F7" s="84">
        <v>5143012</v>
      </c>
      <c r="G7" s="84">
        <v>8083002</v>
      </c>
      <c r="H7" s="84">
        <v>2641490.29</v>
      </c>
      <c r="I7" s="84">
        <v>64025</v>
      </c>
      <c r="J7" s="84">
        <v>1602646</v>
      </c>
      <c r="K7" s="84">
        <v>219635</v>
      </c>
      <c r="L7" s="84">
        <v>8523941</v>
      </c>
      <c r="M7" s="84">
        <v>32446830</v>
      </c>
      <c r="N7" s="84">
        <v>7796094</v>
      </c>
      <c r="O7" s="84">
        <v>292251</v>
      </c>
      <c r="P7" s="84">
        <v>4671138</v>
      </c>
      <c r="Q7" s="84">
        <v>3385959</v>
      </c>
      <c r="R7" s="84">
        <v>62790</v>
      </c>
      <c r="S7" s="84">
        <v>144730</v>
      </c>
      <c r="T7" s="84">
        <v>10257138</v>
      </c>
      <c r="U7" s="84">
        <v>216645</v>
      </c>
      <c r="V7" s="84">
        <v>62883</v>
      </c>
      <c r="W7" s="84">
        <v>6777865</v>
      </c>
      <c r="X7" s="84">
        <v>765212</v>
      </c>
      <c r="Y7" s="84">
        <v>1670365</v>
      </c>
      <c r="Z7" s="84">
        <v>2674302</v>
      </c>
      <c r="AA7" s="84">
        <v>3586210</v>
      </c>
      <c r="AB7" s="84">
        <v>2035553</v>
      </c>
      <c r="AC7" s="84">
        <v>14708215</v>
      </c>
      <c r="AD7" s="84">
        <v>14141082</v>
      </c>
      <c r="AE7" s="84">
        <v>5206615</v>
      </c>
      <c r="AF7" s="84">
        <v>3369308</v>
      </c>
      <c r="AG7" s="84">
        <v>1633383</v>
      </c>
      <c r="AH7" s="69">
        <f t="shared" si="0"/>
        <v>154335956.28999999</v>
      </c>
    </row>
    <row r="8" spans="1:34" ht="15" customHeight="1" x14ac:dyDescent="0.25">
      <c r="A8" s="2" t="s">
        <v>94</v>
      </c>
      <c r="B8" s="84"/>
      <c r="C8" s="84">
        <v>595100</v>
      </c>
      <c r="D8" s="84"/>
      <c r="E8" s="84">
        <v>3549960</v>
      </c>
      <c r="F8" s="84">
        <v>801969</v>
      </c>
      <c r="G8" s="84">
        <v>873215</v>
      </c>
      <c r="H8" s="84">
        <v>575720.16</v>
      </c>
      <c r="I8" s="84">
        <v>91390</v>
      </c>
      <c r="J8" s="84">
        <v>1638735</v>
      </c>
      <c r="K8" s="84">
        <v>5318342</v>
      </c>
      <c r="L8" s="84">
        <v>5756036</v>
      </c>
      <c r="M8" s="84">
        <v>5436986</v>
      </c>
      <c r="N8" s="84">
        <v>702482</v>
      </c>
      <c r="O8" s="84">
        <v>128652</v>
      </c>
      <c r="P8" s="84">
        <v>490297</v>
      </c>
      <c r="Q8" s="84">
        <v>692948</v>
      </c>
      <c r="R8" s="84">
        <v>281284</v>
      </c>
      <c r="S8" s="84">
        <v>131765</v>
      </c>
      <c r="T8" s="84">
        <v>2358294</v>
      </c>
      <c r="U8" s="84">
        <v>111679</v>
      </c>
      <c r="V8" s="84">
        <v>3012</v>
      </c>
      <c r="W8" s="84">
        <v>4385952</v>
      </c>
      <c r="X8" s="84">
        <v>433577</v>
      </c>
      <c r="Y8" s="84">
        <v>89923</v>
      </c>
      <c r="Z8" s="84">
        <v>1731773</v>
      </c>
      <c r="AA8" s="84">
        <v>2439</v>
      </c>
      <c r="AB8" s="84">
        <v>83849</v>
      </c>
      <c r="AC8" s="84">
        <v>2810398</v>
      </c>
      <c r="AD8" s="84">
        <v>9675914</v>
      </c>
      <c r="AE8" s="84"/>
      <c r="AF8" s="84"/>
      <c r="AG8" s="84">
        <v>68372</v>
      </c>
      <c r="AH8" s="69">
        <f t="shared" si="0"/>
        <v>48820063.159999996</v>
      </c>
    </row>
    <row r="9" spans="1:34" ht="15" customHeight="1" x14ac:dyDescent="0.25">
      <c r="A9" s="2" t="s">
        <v>95</v>
      </c>
      <c r="B9" s="84">
        <v>262194</v>
      </c>
      <c r="C9" s="84">
        <v>830800</v>
      </c>
      <c r="D9" s="84">
        <v>1927331</v>
      </c>
      <c r="E9" s="84">
        <v>5162552</v>
      </c>
      <c r="F9" s="84">
        <v>2140391</v>
      </c>
      <c r="G9" s="84">
        <f>270409+29</f>
        <v>270438</v>
      </c>
      <c r="H9" s="84">
        <v>532093.96</v>
      </c>
      <c r="I9" s="84">
        <v>274187</v>
      </c>
      <c r="J9" s="84">
        <v>1961201</v>
      </c>
      <c r="K9" s="84">
        <v>1032253</v>
      </c>
      <c r="L9" s="84">
        <v>4277872</v>
      </c>
      <c r="M9" s="84">
        <v>7312799</v>
      </c>
      <c r="N9" s="84">
        <v>1000167</v>
      </c>
      <c r="O9" s="84">
        <v>2189</v>
      </c>
      <c r="P9" s="84">
        <v>937935</v>
      </c>
      <c r="Q9" s="84">
        <v>476920</v>
      </c>
      <c r="R9" s="84">
        <v>31267</v>
      </c>
      <c r="S9" s="84">
        <v>1422991</v>
      </c>
      <c r="T9" s="84">
        <v>27125605</v>
      </c>
      <c r="U9" s="84">
        <v>143104</v>
      </c>
      <c r="V9" s="84">
        <v>214869</v>
      </c>
      <c r="W9" s="84">
        <v>4639379</v>
      </c>
      <c r="X9" s="84">
        <v>1616357</v>
      </c>
      <c r="Y9" s="84">
        <v>2034673</v>
      </c>
      <c r="Z9" s="84">
        <v>312890</v>
      </c>
      <c r="AA9" s="84">
        <v>317253</v>
      </c>
      <c r="AB9" s="84">
        <v>1701437</v>
      </c>
      <c r="AC9" s="84">
        <v>3439015</v>
      </c>
      <c r="AD9" s="84">
        <v>35449788</v>
      </c>
      <c r="AE9" s="84">
        <v>23147011</v>
      </c>
      <c r="AF9" s="84">
        <v>16483045</v>
      </c>
      <c r="AG9" s="84">
        <v>784403</v>
      </c>
      <c r="AH9" s="69">
        <f t="shared" si="0"/>
        <v>147264409.96000001</v>
      </c>
    </row>
    <row r="10" spans="1:34" ht="15" customHeight="1" x14ac:dyDescent="0.25">
      <c r="A10" s="2" t="s">
        <v>96</v>
      </c>
      <c r="B10" s="84">
        <v>9100</v>
      </c>
      <c r="C10" s="84">
        <v>39369</v>
      </c>
      <c r="D10" s="84"/>
      <c r="E10" s="84"/>
      <c r="F10" s="84"/>
      <c r="G10" s="84"/>
      <c r="H10" s="84"/>
      <c r="I10" s="84">
        <v>11917</v>
      </c>
      <c r="J10" s="84"/>
      <c r="K10" s="84">
        <v>18406</v>
      </c>
      <c r="L10" s="84">
        <v>121989</v>
      </c>
      <c r="M10" s="84">
        <v>169268</v>
      </c>
      <c r="N10" s="84">
        <v>2800</v>
      </c>
      <c r="O10" s="84">
        <v>26500</v>
      </c>
      <c r="P10" s="84"/>
      <c r="Q10" s="84"/>
      <c r="R10" s="84"/>
      <c r="S10" s="84"/>
      <c r="T10" s="84">
        <v>292</v>
      </c>
      <c r="U10" s="84"/>
      <c r="V10" s="84"/>
      <c r="W10" s="84"/>
      <c r="X10" s="84"/>
      <c r="Y10" s="84"/>
      <c r="Z10" s="84">
        <v>233969</v>
      </c>
      <c r="AA10" s="84"/>
      <c r="AB10" s="84"/>
      <c r="AC10" s="84"/>
      <c r="AD10" s="84"/>
      <c r="AE10" s="84"/>
      <c r="AF10" s="84"/>
      <c r="AG10" s="84"/>
      <c r="AH10" s="69">
        <f t="shared" si="0"/>
        <v>633610</v>
      </c>
    </row>
    <row r="11" spans="1:34" ht="15" customHeight="1" x14ac:dyDescent="0.25">
      <c r="A11" s="2" t="s">
        <v>97</v>
      </c>
      <c r="B11" s="84">
        <v>1080150</v>
      </c>
      <c r="C11" s="84"/>
      <c r="D11" s="84">
        <v>62512885</v>
      </c>
      <c r="E11" s="84">
        <v>99503885</v>
      </c>
      <c r="F11" s="84">
        <v>27437491</v>
      </c>
      <c r="G11" s="84">
        <v>62767964</v>
      </c>
      <c r="H11" s="84">
        <v>69157848.890000001</v>
      </c>
      <c r="I11" s="84">
        <v>1431265</v>
      </c>
      <c r="J11" s="84">
        <v>26053525</v>
      </c>
      <c r="K11" s="84">
        <v>16999051</v>
      </c>
      <c r="L11" s="84">
        <v>60542523</v>
      </c>
      <c r="M11" s="84">
        <v>185223155</v>
      </c>
      <c r="N11" s="84">
        <v>62129840</v>
      </c>
      <c r="O11" s="84">
        <v>3346344</v>
      </c>
      <c r="P11" s="84">
        <v>10961433</v>
      </c>
      <c r="Q11" s="84">
        <v>15650663</v>
      </c>
      <c r="R11" s="84">
        <v>928316</v>
      </c>
      <c r="S11" s="84">
        <v>2676579</v>
      </c>
      <c r="T11" s="84">
        <v>198083767</v>
      </c>
      <c r="U11" s="84">
        <v>970865</v>
      </c>
      <c r="V11" s="84">
        <v>3041011</v>
      </c>
      <c r="W11" s="84">
        <f>71902081+137330</f>
        <v>72039411</v>
      </c>
      <c r="X11" s="84">
        <v>4801451</v>
      </c>
      <c r="Y11" s="84">
        <v>38882983</v>
      </c>
      <c r="Z11" s="84">
        <v>35750428</v>
      </c>
      <c r="AA11" s="84">
        <v>71356403</v>
      </c>
      <c r="AB11" s="84">
        <v>10782007</v>
      </c>
      <c r="AC11" s="84">
        <v>66730638</v>
      </c>
      <c r="AD11" s="84">
        <v>290846655</v>
      </c>
      <c r="AE11" s="84">
        <v>157748407</v>
      </c>
      <c r="AF11" s="84">
        <v>236153366</v>
      </c>
      <c r="AG11" s="84">
        <v>16932314</v>
      </c>
      <c r="AH11" s="69">
        <f t="shared" si="0"/>
        <v>1912522623.8899999</v>
      </c>
    </row>
    <row r="12" spans="1:34" ht="15" customHeight="1" x14ac:dyDescent="0.25">
      <c r="A12" s="2" t="s">
        <v>98</v>
      </c>
      <c r="B12" s="84"/>
      <c r="C12" s="84"/>
      <c r="D12" s="84"/>
      <c r="E12" s="84"/>
      <c r="F12" s="84"/>
      <c r="G12" s="84"/>
      <c r="H12" s="84">
        <v>487815.13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69">
        <f t="shared" si="0"/>
        <v>487815.13</v>
      </c>
    </row>
    <row r="13" spans="1:34" ht="15" customHeight="1" x14ac:dyDescent="0.25">
      <c r="A13" s="2" t="s">
        <v>99</v>
      </c>
      <c r="B13" s="84"/>
      <c r="C13" s="84">
        <f>1414480+677</f>
        <v>1415157</v>
      </c>
      <c r="D13" s="84">
        <v>592935</v>
      </c>
      <c r="E13" s="84">
        <v>80198</v>
      </c>
      <c r="F13" s="84">
        <v>303898</v>
      </c>
      <c r="G13" s="84">
        <v>42643</v>
      </c>
      <c r="H13" s="84">
        <v>18412.900000000001</v>
      </c>
      <c r="I13" s="84">
        <v>289</v>
      </c>
      <c r="J13" s="84">
        <f>81805+18154</f>
        <v>99959</v>
      </c>
      <c r="K13" s="84">
        <f>7966+40</f>
        <v>8006</v>
      </c>
      <c r="L13" s="84">
        <f>320346+45170</f>
        <v>365516</v>
      </c>
      <c r="M13" s="84">
        <v>3686748</v>
      </c>
      <c r="N13" s="84">
        <f>211743+ 59609</f>
        <v>271352</v>
      </c>
      <c r="O13" s="84">
        <v>1054</v>
      </c>
      <c r="P13" s="84">
        <f>2724+25935</f>
        <v>28659</v>
      </c>
      <c r="Q13" s="84">
        <v>30270</v>
      </c>
      <c r="R13" s="84">
        <f>1777+9914</f>
        <v>11691</v>
      </c>
      <c r="S13" s="84">
        <f>4414+15722</f>
        <v>20136</v>
      </c>
      <c r="T13" s="84">
        <v>1041430</v>
      </c>
      <c r="U13" s="84">
        <v>472</v>
      </c>
      <c r="V13" s="84">
        <v>5</v>
      </c>
      <c r="W13" s="84">
        <v>1015993</v>
      </c>
      <c r="X13" s="84">
        <f>20815+2588</f>
        <v>23403</v>
      </c>
      <c r="Y13" s="84">
        <f>11224+65687</f>
        <v>76911</v>
      </c>
      <c r="Z13" s="84">
        <f>8047+73631</f>
        <v>81678</v>
      </c>
      <c r="AA13" s="84">
        <v>282469</v>
      </c>
      <c r="AB13" s="84">
        <v>104843</v>
      </c>
      <c r="AC13" s="84">
        <v>330692</v>
      </c>
      <c r="AD13" s="84">
        <v>2416119</v>
      </c>
      <c r="AE13" s="84">
        <v>1150011</v>
      </c>
      <c r="AF13" s="84">
        <v>1961861</v>
      </c>
      <c r="AG13" s="84">
        <f>9982+92459</f>
        <v>102441</v>
      </c>
      <c r="AH13" s="69">
        <f t="shared" si="0"/>
        <v>15565251.9</v>
      </c>
    </row>
    <row r="14" spans="1:34" x14ac:dyDescent="0.25">
      <c r="A14" s="2" t="s">
        <v>32</v>
      </c>
      <c r="B14" s="84">
        <f>B15-B13-B12-B11-B10-B9-B8-B7-B6-B5-B4</f>
        <v>237535</v>
      </c>
      <c r="C14" s="84">
        <f t="shared" ref="C14:AG14" si="1">C15-C13-C12-C11-C10-C9-C8-C7-C6-C5-C4</f>
        <v>427616</v>
      </c>
      <c r="D14" s="84">
        <f t="shared" si="1"/>
        <v>11389471</v>
      </c>
      <c r="E14" s="84">
        <f t="shared" si="1"/>
        <v>3191142</v>
      </c>
      <c r="F14" s="84">
        <f t="shared" si="1"/>
        <v>1493944</v>
      </c>
      <c r="G14" s="84">
        <f t="shared" si="1"/>
        <v>2299730</v>
      </c>
      <c r="H14" s="84">
        <f t="shared" si="1"/>
        <v>209366.84999999206</v>
      </c>
      <c r="I14" s="84">
        <f t="shared" si="1"/>
        <v>11147</v>
      </c>
      <c r="J14" s="84">
        <f t="shared" si="1"/>
        <v>949314</v>
      </c>
      <c r="K14" s="84">
        <f t="shared" si="1"/>
        <v>739281</v>
      </c>
      <c r="L14" s="84">
        <f t="shared" si="1"/>
        <v>432250</v>
      </c>
      <c r="M14" s="84">
        <f t="shared" si="1"/>
        <v>2694114</v>
      </c>
      <c r="N14" s="84">
        <f t="shared" si="1"/>
        <v>1265396</v>
      </c>
      <c r="O14" s="84">
        <f t="shared" si="1"/>
        <v>360274</v>
      </c>
      <c r="P14" s="84">
        <f t="shared" si="1"/>
        <v>403743</v>
      </c>
      <c r="Q14" s="84">
        <f t="shared" si="1"/>
        <v>423138</v>
      </c>
      <c r="R14" s="84">
        <f t="shared" si="1"/>
        <v>752659</v>
      </c>
      <c r="S14" s="84">
        <f t="shared" si="1"/>
        <v>329737</v>
      </c>
      <c r="T14" s="84">
        <f t="shared" si="1"/>
        <v>13432419</v>
      </c>
      <c r="U14" s="84">
        <f t="shared" si="1"/>
        <v>15292</v>
      </c>
      <c r="V14" s="84">
        <f t="shared" si="1"/>
        <v>59527</v>
      </c>
      <c r="W14" s="84">
        <f t="shared" si="1"/>
        <v>2833058</v>
      </c>
      <c r="X14" s="84">
        <f t="shared" si="1"/>
        <v>771871</v>
      </c>
      <c r="Y14" s="84">
        <f t="shared" si="1"/>
        <v>315708</v>
      </c>
      <c r="Z14" s="84">
        <f t="shared" si="1"/>
        <v>1657676</v>
      </c>
      <c r="AA14" s="84">
        <f t="shared" si="1"/>
        <v>1036785</v>
      </c>
      <c r="AB14" s="84">
        <f t="shared" si="1"/>
        <v>2678750</v>
      </c>
      <c r="AC14" s="84">
        <f>AC15-AC13-AC12-AC11-AC10-AC9-AC8-AC7-AC6-AC5-AC4</f>
        <v>627679</v>
      </c>
      <c r="AD14" s="84">
        <f t="shared" si="1"/>
        <v>563620</v>
      </c>
      <c r="AE14" s="84">
        <f t="shared" si="1"/>
        <v>71113206</v>
      </c>
      <c r="AF14" s="84">
        <f t="shared" si="1"/>
        <v>1330</v>
      </c>
      <c r="AG14" s="84">
        <f t="shared" si="1"/>
        <v>256164</v>
      </c>
      <c r="AH14" s="69">
        <f t="shared" si="0"/>
        <v>122972942.84999999</v>
      </c>
    </row>
    <row r="15" spans="1:34" s="7" customFormat="1" x14ac:dyDescent="0.25">
      <c r="A15" s="3" t="s">
        <v>42</v>
      </c>
      <c r="B15" s="10">
        <v>2689663</v>
      </c>
      <c r="C15" s="10">
        <v>4824340</v>
      </c>
      <c r="D15" s="10">
        <v>133692542</v>
      </c>
      <c r="E15" s="10">
        <v>143520392</v>
      </c>
      <c r="F15" s="10">
        <v>46059069</v>
      </c>
      <c r="G15" s="10">
        <v>77372809</v>
      </c>
      <c r="H15" s="10">
        <v>74436457.349999994</v>
      </c>
      <c r="I15" s="10">
        <v>2107714</v>
      </c>
      <c r="J15" s="10">
        <v>39650930</v>
      </c>
      <c r="K15" s="10">
        <v>29277707</v>
      </c>
      <c r="L15" s="10">
        <v>108953166</v>
      </c>
      <c r="M15" s="10">
        <v>244530288</v>
      </c>
      <c r="N15" s="10">
        <v>86157732</v>
      </c>
      <c r="O15" s="10">
        <v>4270934</v>
      </c>
      <c r="P15" s="10">
        <v>18145816</v>
      </c>
      <c r="Q15" s="10">
        <v>22125016</v>
      </c>
      <c r="R15" s="10">
        <v>2161394</v>
      </c>
      <c r="S15" s="10">
        <v>5777562</v>
      </c>
      <c r="T15" s="10">
        <v>308124580</v>
      </c>
      <c r="U15" s="10">
        <v>1504216</v>
      </c>
      <c r="V15" s="10">
        <v>3506590</v>
      </c>
      <c r="W15" s="10">
        <v>109672910</v>
      </c>
      <c r="X15" s="10">
        <v>8708271</v>
      </c>
      <c r="Y15" s="10">
        <v>47492261</v>
      </c>
      <c r="Z15" s="10">
        <v>57346297</v>
      </c>
      <c r="AA15" s="10">
        <v>76935656</v>
      </c>
      <c r="AB15" s="10">
        <v>17814373</v>
      </c>
      <c r="AC15" s="10">
        <v>101308484</v>
      </c>
      <c r="AD15" s="10">
        <v>367990487</v>
      </c>
      <c r="AE15" s="10">
        <v>264868763</v>
      </c>
      <c r="AF15" s="10">
        <v>269148009</v>
      </c>
      <c r="AG15" s="10">
        <v>30143719</v>
      </c>
      <c r="AH15" s="68">
        <f t="shared" si="0"/>
        <v>2710318147.3499999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42" bestFit="1" customWidth="1"/>
    <col min="2" max="2" width="12.85546875" style="6" customWidth="1"/>
    <col min="3" max="5" width="12.85546875" style="42" customWidth="1"/>
    <col min="6" max="6" width="12.85546875" style="45" customWidth="1"/>
    <col min="7" max="7" width="12.85546875" style="76" customWidth="1"/>
    <col min="8" max="10" width="12.85546875" style="42" customWidth="1"/>
    <col min="11" max="11" width="12.85546875" style="45" customWidth="1"/>
    <col min="12" max="12" width="12.85546875" style="76" customWidth="1"/>
    <col min="13" max="16" width="12.85546875" style="42" customWidth="1"/>
    <col min="17" max="17" width="12.85546875" style="6" customWidth="1"/>
    <col min="18" max="20" width="12.85546875" style="42" customWidth="1"/>
    <col min="21" max="21" width="12.85546875" style="45" customWidth="1"/>
    <col min="22" max="22" width="12.85546875" style="6" customWidth="1"/>
    <col min="23" max="25" width="12.85546875" style="42" customWidth="1"/>
    <col min="26" max="26" width="12.85546875" style="45" customWidth="1"/>
    <col min="27" max="27" width="12.85546875" style="6" customWidth="1"/>
    <col min="28" max="30" width="12.85546875" style="42" customWidth="1"/>
    <col min="31" max="31" width="12.85546875" style="45" customWidth="1"/>
    <col min="32" max="32" width="12.85546875" style="6" customWidth="1"/>
    <col min="33" max="35" width="12.85546875" style="42" customWidth="1"/>
    <col min="36" max="36" width="12.85546875" style="45" customWidth="1"/>
    <col min="37" max="40" width="12.85546875" style="42" customWidth="1"/>
    <col min="41" max="41" width="12.85546875" style="45" customWidth="1"/>
    <col min="42" max="42" width="12.85546875" style="6" customWidth="1"/>
    <col min="43" max="45" width="12.85546875" style="42" customWidth="1"/>
    <col min="46" max="46" width="12.85546875" style="45" customWidth="1"/>
    <col min="47" max="47" width="12.85546875" style="6" customWidth="1"/>
    <col min="48" max="50" width="12.85546875" style="42" customWidth="1"/>
    <col min="51" max="51" width="12.85546875" style="45" customWidth="1"/>
    <col min="52" max="52" width="12.85546875" style="6" customWidth="1"/>
    <col min="53" max="55" width="12.85546875" style="42" customWidth="1"/>
    <col min="56" max="56" width="12.85546875" style="45" customWidth="1"/>
    <col min="57" max="57" width="12.85546875" style="6" customWidth="1"/>
    <col min="58" max="60" width="12.85546875" style="42" customWidth="1"/>
    <col min="61" max="61" width="12.85546875" style="45" customWidth="1"/>
    <col min="62" max="62" width="12.85546875" style="6" customWidth="1"/>
    <col min="63" max="65" width="12.85546875" style="42" customWidth="1"/>
    <col min="66" max="66" width="12.85546875" style="45" customWidth="1"/>
    <col min="67" max="67" width="12.85546875" style="76" customWidth="1"/>
    <col min="68" max="70" width="12.85546875" style="42" customWidth="1"/>
    <col min="71" max="71" width="12.85546875" style="45" customWidth="1"/>
    <col min="72" max="72" width="12.85546875" style="6" customWidth="1"/>
    <col min="73" max="75" width="12.85546875" style="42" customWidth="1"/>
    <col min="76" max="76" width="12.85546875" style="45" customWidth="1"/>
    <col min="77" max="77" width="12.85546875" style="6" customWidth="1"/>
    <col min="78" max="80" width="12.85546875" style="42" customWidth="1"/>
    <col min="81" max="81" width="12.85546875" style="45" customWidth="1"/>
    <col min="82" max="82" width="12.85546875" style="76" customWidth="1"/>
    <col min="83" max="85" width="12.85546875" style="42" customWidth="1"/>
    <col min="86" max="86" width="12.85546875" style="45" customWidth="1"/>
    <col min="87" max="87" width="12.85546875" style="6" customWidth="1"/>
    <col min="88" max="90" width="12.85546875" style="42" customWidth="1"/>
    <col min="91" max="91" width="12.85546875" style="45" customWidth="1"/>
    <col min="92" max="92" width="12.85546875" style="6" customWidth="1"/>
    <col min="93" max="95" width="12.85546875" style="42" customWidth="1"/>
    <col min="96" max="96" width="12.85546875" style="45" customWidth="1"/>
    <col min="97" max="97" width="12.85546875" style="76" customWidth="1"/>
    <col min="98" max="101" width="12.85546875" style="42" customWidth="1"/>
    <col min="102" max="102" width="12.85546875" style="6" customWidth="1"/>
    <col min="103" max="105" width="12.85546875" style="42" customWidth="1"/>
    <col min="106" max="106" width="12.85546875" style="45" customWidth="1"/>
    <col min="107" max="107" width="12.85546875" style="76" customWidth="1"/>
    <col min="108" max="111" width="12.85546875" style="42" customWidth="1"/>
    <col min="112" max="112" width="12.85546875" style="6" customWidth="1"/>
    <col min="113" max="116" width="12.85546875" style="42" customWidth="1"/>
    <col min="117" max="117" width="12.85546875" style="6" customWidth="1"/>
    <col min="118" max="120" width="12.85546875" style="42" customWidth="1"/>
    <col min="121" max="121" width="12.85546875" style="45" customWidth="1"/>
    <col min="122" max="122" width="12.85546875" style="63" customWidth="1"/>
    <col min="123" max="126" width="12.85546875" style="45" customWidth="1"/>
    <col min="127" max="127" width="12.85546875" style="6" customWidth="1"/>
    <col min="128" max="131" width="12.85546875" style="42" customWidth="1"/>
    <col min="132" max="132" width="12.85546875" style="6" customWidth="1"/>
    <col min="133" max="135" width="12.85546875" style="42" customWidth="1"/>
    <col min="136" max="136" width="12.85546875" style="45" customWidth="1"/>
    <col min="137" max="137" width="12.85546875" style="6" customWidth="1"/>
    <col min="138" max="140" width="12.85546875" style="42" customWidth="1"/>
    <col min="141" max="141" width="12.85546875" style="45" customWidth="1"/>
    <col min="142" max="142" width="12.85546875" style="6" customWidth="1"/>
    <col min="143" max="145" width="12.85546875" style="42" customWidth="1"/>
    <col min="146" max="146" width="12.85546875" style="45" customWidth="1"/>
    <col min="147" max="150" width="12.85546875" style="42" customWidth="1"/>
    <col min="151" max="151" width="12.85546875" style="45" customWidth="1"/>
    <col min="152" max="152" width="12.85546875" style="6" customWidth="1"/>
    <col min="153" max="155" width="12.85546875" style="42" customWidth="1"/>
    <col min="156" max="156" width="12.85546875" style="45" customWidth="1"/>
    <col min="157" max="157" width="12.85546875" style="6" customWidth="1"/>
    <col min="158" max="160" width="12.85546875" style="42" customWidth="1"/>
    <col min="161" max="161" width="12.85546875" style="45" customWidth="1"/>
    <col min="162" max="16384" width="9.140625" style="42"/>
  </cols>
  <sheetData>
    <row r="1" spans="1:161" ht="34.5" x14ac:dyDescent="0.25">
      <c r="A1" s="55" t="s">
        <v>272</v>
      </c>
    </row>
    <row r="2" spans="1:161" x14ac:dyDescent="0.25">
      <c r="A2" s="43" t="s">
        <v>0</v>
      </c>
      <c r="B2" s="114" t="s">
        <v>1</v>
      </c>
      <c r="C2" s="114"/>
      <c r="D2" s="114"/>
      <c r="E2" s="114"/>
      <c r="F2" s="114"/>
      <c r="G2" s="114" t="s">
        <v>282</v>
      </c>
      <c r="H2" s="114"/>
      <c r="I2" s="114"/>
      <c r="J2" s="114"/>
      <c r="K2" s="114"/>
      <c r="L2" s="114" t="s">
        <v>2</v>
      </c>
      <c r="M2" s="114"/>
      <c r="N2" s="114"/>
      <c r="O2" s="114"/>
      <c r="P2" s="114"/>
      <c r="Q2" s="114" t="s">
        <v>3</v>
      </c>
      <c r="R2" s="114"/>
      <c r="S2" s="114"/>
      <c r="T2" s="114"/>
      <c r="U2" s="114"/>
      <c r="V2" s="114" t="s">
        <v>4</v>
      </c>
      <c r="W2" s="114"/>
      <c r="X2" s="114"/>
      <c r="Y2" s="114"/>
      <c r="Z2" s="114"/>
      <c r="AA2" s="114" t="s">
        <v>283</v>
      </c>
      <c r="AB2" s="114"/>
      <c r="AC2" s="114"/>
      <c r="AD2" s="114"/>
      <c r="AE2" s="114"/>
      <c r="AF2" s="114" t="s">
        <v>6</v>
      </c>
      <c r="AG2" s="114"/>
      <c r="AH2" s="114"/>
      <c r="AI2" s="114"/>
      <c r="AJ2" s="114"/>
      <c r="AK2" s="114" t="s">
        <v>5</v>
      </c>
      <c r="AL2" s="114"/>
      <c r="AM2" s="114"/>
      <c r="AN2" s="114"/>
      <c r="AO2" s="114"/>
      <c r="AP2" s="114" t="s">
        <v>7</v>
      </c>
      <c r="AQ2" s="114"/>
      <c r="AR2" s="114"/>
      <c r="AS2" s="114"/>
      <c r="AT2" s="114"/>
      <c r="AU2" s="114" t="s">
        <v>284</v>
      </c>
      <c r="AV2" s="114"/>
      <c r="AW2" s="114"/>
      <c r="AX2" s="114"/>
      <c r="AY2" s="114"/>
      <c r="AZ2" s="114" t="s">
        <v>8</v>
      </c>
      <c r="BA2" s="114"/>
      <c r="BB2" s="114"/>
      <c r="BC2" s="114"/>
      <c r="BD2" s="114"/>
      <c r="BE2" s="114" t="s">
        <v>9</v>
      </c>
      <c r="BF2" s="114"/>
      <c r="BG2" s="114"/>
      <c r="BH2" s="114"/>
      <c r="BI2" s="114"/>
      <c r="BJ2" s="114" t="s">
        <v>10</v>
      </c>
      <c r="BK2" s="114"/>
      <c r="BL2" s="114"/>
      <c r="BM2" s="114"/>
      <c r="BN2" s="114"/>
      <c r="BO2" s="114" t="s">
        <v>304</v>
      </c>
      <c r="BP2" s="114"/>
      <c r="BQ2" s="114"/>
      <c r="BR2" s="114"/>
      <c r="BS2" s="114"/>
      <c r="BT2" s="114" t="s">
        <v>11</v>
      </c>
      <c r="BU2" s="114"/>
      <c r="BV2" s="114"/>
      <c r="BW2" s="114"/>
      <c r="BX2" s="114"/>
      <c r="BY2" s="114" t="s">
        <v>12</v>
      </c>
      <c r="BZ2" s="114"/>
      <c r="CA2" s="114"/>
      <c r="CB2" s="114"/>
      <c r="CC2" s="114"/>
      <c r="CD2" s="114" t="s">
        <v>285</v>
      </c>
      <c r="CE2" s="114"/>
      <c r="CF2" s="114"/>
      <c r="CG2" s="114"/>
      <c r="CH2" s="114"/>
      <c r="CI2" s="114" t="s">
        <v>290</v>
      </c>
      <c r="CJ2" s="114"/>
      <c r="CK2" s="114"/>
      <c r="CL2" s="114"/>
      <c r="CM2" s="114"/>
      <c r="CN2" s="114" t="s">
        <v>13</v>
      </c>
      <c r="CO2" s="114"/>
      <c r="CP2" s="114"/>
      <c r="CQ2" s="114"/>
      <c r="CR2" s="114"/>
      <c r="CS2" s="114" t="s">
        <v>286</v>
      </c>
      <c r="CT2" s="114"/>
      <c r="CU2" s="114"/>
      <c r="CV2" s="114"/>
      <c r="CW2" s="114"/>
      <c r="CX2" s="114" t="s">
        <v>287</v>
      </c>
      <c r="CY2" s="114"/>
      <c r="CZ2" s="114"/>
      <c r="DA2" s="114"/>
      <c r="DB2" s="114"/>
      <c r="DC2" s="114" t="s">
        <v>291</v>
      </c>
      <c r="DD2" s="114"/>
      <c r="DE2" s="114"/>
      <c r="DF2" s="114"/>
      <c r="DG2" s="114"/>
      <c r="DH2" s="114" t="s">
        <v>305</v>
      </c>
      <c r="DI2" s="114"/>
      <c r="DJ2" s="114"/>
      <c r="DK2" s="114"/>
      <c r="DL2" s="114"/>
      <c r="DM2" s="114" t="s">
        <v>14</v>
      </c>
      <c r="DN2" s="114"/>
      <c r="DO2" s="114"/>
      <c r="DP2" s="114"/>
      <c r="DQ2" s="114"/>
      <c r="DR2" s="114" t="s">
        <v>15</v>
      </c>
      <c r="DS2" s="114"/>
      <c r="DT2" s="114"/>
      <c r="DU2" s="114"/>
      <c r="DV2" s="114"/>
      <c r="DW2" s="114" t="s">
        <v>16</v>
      </c>
      <c r="DX2" s="114"/>
      <c r="DY2" s="114"/>
      <c r="DZ2" s="114"/>
      <c r="EA2" s="114"/>
      <c r="EB2" s="114" t="s">
        <v>17</v>
      </c>
      <c r="EC2" s="114"/>
      <c r="ED2" s="114"/>
      <c r="EE2" s="114"/>
      <c r="EF2" s="114"/>
      <c r="EG2" s="114" t="s">
        <v>18</v>
      </c>
      <c r="EH2" s="114"/>
      <c r="EI2" s="114"/>
      <c r="EJ2" s="114"/>
      <c r="EK2" s="114"/>
      <c r="EL2" s="114" t="s">
        <v>288</v>
      </c>
      <c r="EM2" s="114"/>
      <c r="EN2" s="114"/>
      <c r="EO2" s="114"/>
      <c r="EP2" s="114"/>
      <c r="EQ2" s="114" t="s">
        <v>289</v>
      </c>
      <c r="ER2" s="114"/>
      <c r="ES2" s="114"/>
      <c r="ET2" s="114"/>
      <c r="EU2" s="114"/>
      <c r="EV2" s="114" t="s">
        <v>19</v>
      </c>
      <c r="EW2" s="114"/>
      <c r="EX2" s="114"/>
      <c r="EY2" s="114"/>
      <c r="EZ2" s="114"/>
      <c r="FA2" s="114" t="s">
        <v>20</v>
      </c>
      <c r="FB2" s="114"/>
      <c r="FC2" s="114"/>
      <c r="FD2" s="114"/>
      <c r="FE2" s="114"/>
    </row>
    <row r="3" spans="1:161" ht="15" customHeight="1" x14ac:dyDescent="0.25">
      <c r="A3" s="110" t="s">
        <v>168</v>
      </c>
      <c r="B3" s="112" t="s">
        <v>162</v>
      </c>
      <c r="C3" s="110" t="s">
        <v>163</v>
      </c>
      <c r="D3" s="110"/>
      <c r="E3" s="110"/>
      <c r="F3" s="111" t="s">
        <v>164</v>
      </c>
      <c r="G3" s="112" t="s">
        <v>162</v>
      </c>
      <c r="H3" s="110" t="s">
        <v>163</v>
      </c>
      <c r="I3" s="110"/>
      <c r="J3" s="110"/>
      <c r="K3" s="111" t="s">
        <v>164</v>
      </c>
      <c r="L3" s="112" t="s">
        <v>162</v>
      </c>
      <c r="M3" s="110" t="s">
        <v>163</v>
      </c>
      <c r="N3" s="110"/>
      <c r="O3" s="110"/>
      <c r="P3" s="110" t="s">
        <v>164</v>
      </c>
      <c r="Q3" s="112" t="s">
        <v>162</v>
      </c>
      <c r="R3" s="110" t="s">
        <v>163</v>
      </c>
      <c r="S3" s="110"/>
      <c r="T3" s="110"/>
      <c r="U3" s="111" t="s">
        <v>164</v>
      </c>
      <c r="V3" s="112" t="s">
        <v>162</v>
      </c>
      <c r="W3" s="110" t="s">
        <v>163</v>
      </c>
      <c r="X3" s="110"/>
      <c r="Y3" s="110"/>
      <c r="Z3" s="111" t="s">
        <v>164</v>
      </c>
      <c r="AA3" s="112" t="s">
        <v>162</v>
      </c>
      <c r="AB3" s="110" t="s">
        <v>163</v>
      </c>
      <c r="AC3" s="110"/>
      <c r="AD3" s="110"/>
      <c r="AE3" s="111" t="s">
        <v>164</v>
      </c>
      <c r="AF3" s="112" t="s">
        <v>162</v>
      </c>
      <c r="AG3" s="110" t="s">
        <v>163</v>
      </c>
      <c r="AH3" s="110"/>
      <c r="AI3" s="110"/>
      <c r="AJ3" s="111" t="s">
        <v>164</v>
      </c>
      <c r="AK3" s="110" t="s">
        <v>162</v>
      </c>
      <c r="AL3" s="110" t="s">
        <v>163</v>
      </c>
      <c r="AM3" s="110"/>
      <c r="AN3" s="110"/>
      <c r="AO3" s="111" t="s">
        <v>164</v>
      </c>
      <c r="AP3" s="112" t="s">
        <v>162</v>
      </c>
      <c r="AQ3" s="110" t="s">
        <v>163</v>
      </c>
      <c r="AR3" s="110"/>
      <c r="AS3" s="110"/>
      <c r="AT3" s="111" t="s">
        <v>164</v>
      </c>
      <c r="AU3" s="112" t="s">
        <v>162</v>
      </c>
      <c r="AV3" s="110" t="s">
        <v>163</v>
      </c>
      <c r="AW3" s="110"/>
      <c r="AX3" s="110"/>
      <c r="AY3" s="111" t="s">
        <v>164</v>
      </c>
      <c r="AZ3" s="112" t="s">
        <v>162</v>
      </c>
      <c r="BA3" s="110" t="s">
        <v>163</v>
      </c>
      <c r="BB3" s="110"/>
      <c r="BC3" s="110"/>
      <c r="BD3" s="111" t="s">
        <v>164</v>
      </c>
      <c r="BE3" s="112" t="s">
        <v>162</v>
      </c>
      <c r="BF3" s="110" t="s">
        <v>163</v>
      </c>
      <c r="BG3" s="110"/>
      <c r="BH3" s="110"/>
      <c r="BI3" s="111" t="s">
        <v>164</v>
      </c>
      <c r="BJ3" s="112" t="s">
        <v>162</v>
      </c>
      <c r="BK3" s="110" t="s">
        <v>163</v>
      </c>
      <c r="BL3" s="110"/>
      <c r="BM3" s="110"/>
      <c r="BN3" s="111" t="s">
        <v>164</v>
      </c>
      <c r="BO3" s="112" t="s">
        <v>162</v>
      </c>
      <c r="BP3" s="110" t="s">
        <v>163</v>
      </c>
      <c r="BQ3" s="110"/>
      <c r="BR3" s="110"/>
      <c r="BS3" s="111" t="s">
        <v>164</v>
      </c>
      <c r="BT3" s="112" t="s">
        <v>162</v>
      </c>
      <c r="BU3" s="110" t="s">
        <v>163</v>
      </c>
      <c r="BV3" s="110"/>
      <c r="BW3" s="110"/>
      <c r="BX3" s="111" t="s">
        <v>164</v>
      </c>
      <c r="BY3" s="112" t="s">
        <v>162</v>
      </c>
      <c r="BZ3" s="110" t="s">
        <v>163</v>
      </c>
      <c r="CA3" s="110"/>
      <c r="CB3" s="110"/>
      <c r="CC3" s="111" t="s">
        <v>164</v>
      </c>
      <c r="CD3" s="112" t="s">
        <v>162</v>
      </c>
      <c r="CE3" s="110" t="s">
        <v>163</v>
      </c>
      <c r="CF3" s="110"/>
      <c r="CG3" s="110"/>
      <c r="CH3" s="111" t="s">
        <v>164</v>
      </c>
      <c r="CI3" s="112" t="s">
        <v>162</v>
      </c>
      <c r="CJ3" s="110" t="s">
        <v>163</v>
      </c>
      <c r="CK3" s="110"/>
      <c r="CL3" s="110"/>
      <c r="CM3" s="111" t="s">
        <v>164</v>
      </c>
      <c r="CN3" s="112" t="s">
        <v>162</v>
      </c>
      <c r="CO3" s="110" t="s">
        <v>163</v>
      </c>
      <c r="CP3" s="110"/>
      <c r="CQ3" s="110"/>
      <c r="CR3" s="111" t="s">
        <v>164</v>
      </c>
      <c r="CS3" s="112" t="s">
        <v>162</v>
      </c>
      <c r="CT3" s="110" t="s">
        <v>163</v>
      </c>
      <c r="CU3" s="110"/>
      <c r="CV3" s="110"/>
      <c r="CW3" s="113" t="s">
        <v>164</v>
      </c>
      <c r="CX3" s="112" t="s">
        <v>162</v>
      </c>
      <c r="CY3" s="110" t="s">
        <v>163</v>
      </c>
      <c r="CZ3" s="110"/>
      <c r="DA3" s="110"/>
      <c r="DB3" s="111" t="s">
        <v>164</v>
      </c>
      <c r="DC3" s="112" t="s">
        <v>162</v>
      </c>
      <c r="DD3" s="110" t="s">
        <v>163</v>
      </c>
      <c r="DE3" s="110"/>
      <c r="DF3" s="110"/>
      <c r="DG3" s="113" t="s">
        <v>164</v>
      </c>
      <c r="DH3" s="112" t="s">
        <v>162</v>
      </c>
      <c r="DI3" s="110" t="s">
        <v>163</v>
      </c>
      <c r="DJ3" s="110"/>
      <c r="DK3" s="110"/>
      <c r="DL3" s="113" t="s">
        <v>164</v>
      </c>
      <c r="DM3" s="112" t="s">
        <v>162</v>
      </c>
      <c r="DN3" s="110" t="s">
        <v>163</v>
      </c>
      <c r="DO3" s="110"/>
      <c r="DP3" s="110"/>
      <c r="DQ3" s="111" t="s">
        <v>164</v>
      </c>
      <c r="DR3" s="112" t="s">
        <v>162</v>
      </c>
      <c r="DS3" s="110" t="s">
        <v>163</v>
      </c>
      <c r="DT3" s="110"/>
      <c r="DU3" s="110"/>
      <c r="DV3" s="111" t="s">
        <v>164</v>
      </c>
      <c r="DW3" s="112" t="s">
        <v>162</v>
      </c>
      <c r="DX3" s="110" t="s">
        <v>163</v>
      </c>
      <c r="DY3" s="110"/>
      <c r="DZ3" s="110"/>
      <c r="EA3" s="113" t="s">
        <v>164</v>
      </c>
      <c r="EB3" s="112" t="s">
        <v>162</v>
      </c>
      <c r="EC3" s="110" t="s">
        <v>163</v>
      </c>
      <c r="ED3" s="110"/>
      <c r="EE3" s="110"/>
      <c r="EF3" s="111" t="s">
        <v>164</v>
      </c>
      <c r="EG3" s="112" t="s">
        <v>162</v>
      </c>
      <c r="EH3" s="110" t="s">
        <v>163</v>
      </c>
      <c r="EI3" s="110"/>
      <c r="EJ3" s="110"/>
      <c r="EK3" s="111" t="s">
        <v>164</v>
      </c>
      <c r="EL3" s="112" t="s">
        <v>162</v>
      </c>
      <c r="EM3" s="110" t="s">
        <v>163</v>
      </c>
      <c r="EN3" s="110"/>
      <c r="EO3" s="110"/>
      <c r="EP3" s="111" t="s">
        <v>164</v>
      </c>
      <c r="EQ3" s="110" t="s">
        <v>162</v>
      </c>
      <c r="ER3" s="110" t="s">
        <v>163</v>
      </c>
      <c r="ES3" s="110"/>
      <c r="ET3" s="110"/>
      <c r="EU3" s="111" t="s">
        <v>164</v>
      </c>
      <c r="EV3" s="112" t="s">
        <v>162</v>
      </c>
      <c r="EW3" s="110" t="s">
        <v>163</v>
      </c>
      <c r="EX3" s="110"/>
      <c r="EY3" s="110"/>
      <c r="EZ3" s="111" t="s">
        <v>164</v>
      </c>
      <c r="FA3" s="112" t="s">
        <v>162</v>
      </c>
      <c r="FB3" s="110" t="s">
        <v>163</v>
      </c>
      <c r="FC3" s="110"/>
      <c r="FD3" s="110"/>
      <c r="FE3" s="111" t="s">
        <v>164</v>
      </c>
    </row>
    <row r="4" spans="1:161" ht="30" x14ac:dyDescent="0.25">
      <c r="A4" s="110"/>
      <c r="B4" s="112"/>
      <c r="C4" s="17" t="s">
        <v>165</v>
      </c>
      <c r="D4" s="17" t="s">
        <v>166</v>
      </c>
      <c r="E4" s="17" t="s">
        <v>167</v>
      </c>
      <c r="F4" s="111"/>
      <c r="G4" s="112"/>
      <c r="H4" s="17" t="s">
        <v>165</v>
      </c>
      <c r="I4" s="17" t="s">
        <v>166</v>
      </c>
      <c r="J4" s="17" t="s">
        <v>167</v>
      </c>
      <c r="K4" s="111"/>
      <c r="L4" s="112"/>
      <c r="M4" s="17" t="s">
        <v>165</v>
      </c>
      <c r="N4" s="17" t="s">
        <v>166</v>
      </c>
      <c r="O4" s="17" t="s">
        <v>167</v>
      </c>
      <c r="P4" s="110"/>
      <c r="Q4" s="112"/>
      <c r="R4" s="17" t="s">
        <v>165</v>
      </c>
      <c r="S4" s="17" t="s">
        <v>166</v>
      </c>
      <c r="T4" s="17" t="s">
        <v>167</v>
      </c>
      <c r="U4" s="111"/>
      <c r="V4" s="112"/>
      <c r="W4" s="17" t="s">
        <v>165</v>
      </c>
      <c r="X4" s="17" t="s">
        <v>166</v>
      </c>
      <c r="Y4" s="17" t="s">
        <v>167</v>
      </c>
      <c r="Z4" s="111"/>
      <c r="AA4" s="112"/>
      <c r="AB4" s="17" t="s">
        <v>165</v>
      </c>
      <c r="AC4" s="17" t="s">
        <v>166</v>
      </c>
      <c r="AD4" s="17" t="s">
        <v>167</v>
      </c>
      <c r="AE4" s="111"/>
      <c r="AF4" s="112"/>
      <c r="AG4" s="17" t="s">
        <v>165</v>
      </c>
      <c r="AH4" s="17" t="s">
        <v>166</v>
      </c>
      <c r="AI4" s="17" t="s">
        <v>167</v>
      </c>
      <c r="AJ4" s="111"/>
      <c r="AK4" s="110"/>
      <c r="AL4" s="17" t="s">
        <v>165</v>
      </c>
      <c r="AM4" s="17" t="s">
        <v>166</v>
      </c>
      <c r="AN4" s="17" t="s">
        <v>167</v>
      </c>
      <c r="AO4" s="111"/>
      <c r="AP4" s="112"/>
      <c r="AQ4" s="17" t="s">
        <v>165</v>
      </c>
      <c r="AR4" s="17" t="s">
        <v>166</v>
      </c>
      <c r="AS4" s="17" t="s">
        <v>167</v>
      </c>
      <c r="AT4" s="111"/>
      <c r="AU4" s="112"/>
      <c r="AV4" s="17" t="s">
        <v>165</v>
      </c>
      <c r="AW4" s="17" t="s">
        <v>166</v>
      </c>
      <c r="AX4" s="17" t="s">
        <v>167</v>
      </c>
      <c r="AY4" s="111"/>
      <c r="AZ4" s="112"/>
      <c r="BA4" s="17" t="s">
        <v>165</v>
      </c>
      <c r="BB4" s="17" t="s">
        <v>166</v>
      </c>
      <c r="BC4" s="17" t="s">
        <v>167</v>
      </c>
      <c r="BD4" s="111"/>
      <c r="BE4" s="112"/>
      <c r="BF4" s="17" t="s">
        <v>165</v>
      </c>
      <c r="BG4" s="17" t="s">
        <v>166</v>
      </c>
      <c r="BH4" s="17" t="s">
        <v>167</v>
      </c>
      <c r="BI4" s="111"/>
      <c r="BJ4" s="112"/>
      <c r="BK4" s="17" t="s">
        <v>165</v>
      </c>
      <c r="BL4" s="17" t="s">
        <v>166</v>
      </c>
      <c r="BM4" s="17" t="s">
        <v>167</v>
      </c>
      <c r="BN4" s="111"/>
      <c r="BO4" s="112"/>
      <c r="BP4" s="17" t="s">
        <v>165</v>
      </c>
      <c r="BQ4" s="17" t="s">
        <v>166</v>
      </c>
      <c r="BR4" s="17" t="s">
        <v>167</v>
      </c>
      <c r="BS4" s="111"/>
      <c r="BT4" s="112"/>
      <c r="BU4" s="17" t="s">
        <v>165</v>
      </c>
      <c r="BV4" s="17" t="s">
        <v>166</v>
      </c>
      <c r="BW4" s="17" t="s">
        <v>167</v>
      </c>
      <c r="BX4" s="111"/>
      <c r="BY4" s="112"/>
      <c r="BZ4" s="17" t="s">
        <v>165</v>
      </c>
      <c r="CA4" s="17" t="s">
        <v>166</v>
      </c>
      <c r="CB4" s="17" t="s">
        <v>167</v>
      </c>
      <c r="CC4" s="111"/>
      <c r="CD4" s="112"/>
      <c r="CE4" s="17" t="s">
        <v>165</v>
      </c>
      <c r="CF4" s="17" t="s">
        <v>166</v>
      </c>
      <c r="CG4" s="17" t="s">
        <v>167</v>
      </c>
      <c r="CH4" s="111"/>
      <c r="CI4" s="112"/>
      <c r="CJ4" s="17" t="s">
        <v>165</v>
      </c>
      <c r="CK4" s="17" t="s">
        <v>166</v>
      </c>
      <c r="CL4" s="17" t="s">
        <v>167</v>
      </c>
      <c r="CM4" s="111"/>
      <c r="CN4" s="112"/>
      <c r="CO4" s="17" t="s">
        <v>165</v>
      </c>
      <c r="CP4" s="17" t="s">
        <v>166</v>
      </c>
      <c r="CQ4" s="17" t="s">
        <v>167</v>
      </c>
      <c r="CR4" s="111"/>
      <c r="CS4" s="112"/>
      <c r="CT4" s="17" t="s">
        <v>165</v>
      </c>
      <c r="CU4" s="17" t="s">
        <v>166</v>
      </c>
      <c r="CV4" s="17" t="s">
        <v>167</v>
      </c>
      <c r="CW4" s="113"/>
      <c r="CX4" s="112"/>
      <c r="CY4" s="17" t="s">
        <v>165</v>
      </c>
      <c r="CZ4" s="17" t="s">
        <v>166</v>
      </c>
      <c r="DA4" s="17" t="s">
        <v>167</v>
      </c>
      <c r="DB4" s="111"/>
      <c r="DC4" s="112"/>
      <c r="DD4" s="17" t="s">
        <v>165</v>
      </c>
      <c r="DE4" s="17" t="s">
        <v>166</v>
      </c>
      <c r="DF4" s="17" t="s">
        <v>167</v>
      </c>
      <c r="DG4" s="113"/>
      <c r="DH4" s="112"/>
      <c r="DI4" s="17" t="s">
        <v>165</v>
      </c>
      <c r="DJ4" s="17" t="s">
        <v>166</v>
      </c>
      <c r="DK4" s="17" t="s">
        <v>167</v>
      </c>
      <c r="DL4" s="113"/>
      <c r="DM4" s="112"/>
      <c r="DN4" s="17" t="s">
        <v>165</v>
      </c>
      <c r="DO4" s="17" t="s">
        <v>166</v>
      </c>
      <c r="DP4" s="17" t="s">
        <v>167</v>
      </c>
      <c r="DQ4" s="111"/>
      <c r="DR4" s="112"/>
      <c r="DS4" s="17" t="s">
        <v>165</v>
      </c>
      <c r="DT4" s="17" t="s">
        <v>166</v>
      </c>
      <c r="DU4" s="17" t="s">
        <v>167</v>
      </c>
      <c r="DV4" s="111"/>
      <c r="DW4" s="112"/>
      <c r="DX4" s="17" t="s">
        <v>165</v>
      </c>
      <c r="DY4" s="17" t="s">
        <v>166</v>
      </c>
      <c r="DZ4" s="17" t="s">
        <v>167</v>
      </c>
      <c r="EA4" s="113"/>
      <c r="EB4" s="112"/>
      <c r="EC4" s="17" t="s">
        <v>165</v>
      </c>
      <c r="ED4" s="17" t="s">
        <v>166</v>
      </c>
      <c r="EE4" s="17" t="s">
        <v>167</v>
      </c>
      <c r="EF4" s="111"/>
      <c r="EG4" s="112"/>
      <c r="EH4" s="17" t="s">
        <v>165</v>
      </c>
      <c r="EI4" s="17" t="s">
        <v>166</v>
      </c>
      <c r="EJ4" s="17" t="s">
        <v>167</v>
      </c>
      <c r="EK4" s="111"/>
      <c r="EL4" s="112"/>
      <c r="EM4" s="17" t="s">
        <v>165</v>
      </c>
      <c r="EN4" s="17" t="s">
        <v>166</v>
      </c>
      <c r="EO4" s="17" t="s">
        <v>167</v>
      </c>
      <c r="EP4" s="111"/>
      <c r="EQ4" s="110"/>
      <c r="ER4" s="17" t="s">
        <v>165</v>
      </c>
      <c r="ES4" s="17" t="s">
        <v>166</v>
      </c>
      <c r="ET4" s="17" t="s">
        <v>167</v>
      </c>
      <c r="EU4" s="111"/>
      <c r="EV4" s="112"/>
      <c r="EW4" s="17" t="s">
        <v>165</v>
      </c>
      <c r="EX4" s="17" t="s">
        <v>166</v>
      </c>
      <c r="EY4" s="17" t="s">
        <v>167</v>
      </c>
      <c r="EZ4" s="111"/>
      <c r="FA4" s="112"/>
      <c r="FB4" s="17" t="s">
        <v>165</v>
      </c>
      <c r="FC4" s="17" t="s">
        <v>166</v>
      </c>
      <c r="FD4" s="17" t="s">
        <v>167</v>
      </c>
      <c r="FE4" s="111"/>
    </row>
    <row r="5" spans="1:161" x14ac:dyDescent="0.25">
      <c r="A5" s="18" t="s">
        <v>169</v>
      </c>
      <c r="B5" s="84">
        <v>2</v>
      </c>
      <c r="C5" s="87">
        <v>4257</v>
      </c>
      <c r="D5" s="87">
        <v>53</v>
      </c>
      <c r="E5" s="18"/>
      <c r="F5" s="39">
        <v>0.65149999999999997</v>
      </c>
      <c r="G5" s="9"/>
      <c r="H5" s="18"/>
      <c r="I5" s="18"/>
      <c r="J5" s="18"/>
      <c r="K5" s="39"/>
      <c r="L5" s="9"/>
      <c r="M5" s="18"/>
      <c r="N5" s="18"/>
      <c r="O5" s="18"/>
      <c r="P5" s="18"/>
      <c r="Q5" s="9"/>
      <c r="R5" s="18"/>
      <c r="S5" s="18"/>
      <c r="T5" s="18"/>
      <c r="U5" s="39"/>
      <c r="V5" s="9"/>
      <c r="W5" s="18"/>
      <c r="X5" s="18"/>
      <c r="Y5" s="18"/>
      <c r="Z5" s="39"/>
      <c r="AA5" s="9"/>
      <c r="AB5" s="18"/>
      <c r="AC5" s="18"/>
      <c r="AD5" s="18"/>
      <c r="AE5" s="39"/>
      <c r="AF5" s="9"/>
      <c r="AG5" s="18"/>
      <c r="AH5" s="18"/>
      <c r="AI5" s="18"/>
      <c r="AJ5" s="39"/>
      <c r="AK5" s="9"/>
      <c r="AL5" s="18"/>
      <c r="AM5" s="18"/>
      <c r="AN5" s="18"/>
      <c r="AO5" s="39"/>
      <c r="AP5" s="9"/>
      <c r="AQ5" s="18"/>
      <c r="AR5" s="18"/>
      <c r="AS5" s="18"/>
      <c r="AT5" s="39"/>
      <c r="AU5" s="84">
        <v>1</v>
      </c>
      <c r="AV5" s="18"/>
      <c r="AW5" s="18"/>
      <c r="AX5" s="84">
        <v>9</v>
      </c>
      <c r="AY5" s="39">
        <v>2.0000000000000001E-4</v>
      </c>
      <c r="AZ5" s="9"/>
      <c r="BA5" s="18"/>
      <c r="BB5" s="18"/>
      <c r="BC5" s="18"/>
      <c r="BD5" s="39"/>
      <c r="BE5" s="9"/>
      <c r="BF5" s="18"/>
      <c r="BG5" s="18"/>
      <c r="BH5" s="18"/>
      <c r="BI5" s="39"/>
      <c r="BJ5" s="9"/>
      <c r="BK5" s="18"/>
      <c r="BL5" s="18"/>
      <c r="BM5" s="18"/>
      <c r="BN5" s="39"/>
      <c r="BO5" s="9"/>
      <c r="BP5" s="18"/>
      <c r="BQ5" s="18"/>
      <c r="BR5" s="18"/>
      <c r="BS5" s="39"/>
      <c r="BT5" s="9"/>
      <c r="BU5" s="18"/>
      <c r="BV5" s="18"/>
      <c r="BW5" s="18"/>
      <c r="BX5" s="39"/>
      <c r="BY5" s="9"/>
      <c r="BZ5" s="18"/>
      <c r="CA5" s="18"/>
      <c r="CB5" s="18"/>
      <c r="CC5" s="39"/>
      <c r="CD5" s="9"/>
      <c r="CE5" s="18"/>
      <c r="CF5" s="18"/>
      <c r="CG5" s="18"/>
      <c r="CH5" s="39"/>
      <c r="CI5" s="9"/>
      <c r="CJ5" s="18"/>
      <c r="CK5" s="18"/>
      <c r="CL5" s="18"/>
      <c r="CM5" s="39"/>
      <c r="CN5" s="9"/>
      <c r="CO5" s="18"/>
      <c r="CP5" s="18"/>
      <c r="CQ5" s="18"/>
      <c r="CR5" s="39"/>
      <c r="CS5" s="9"/>
      <c r="CT5" s="18"/>
      <c r="CU5" s="18"/>
      <c r="CV5" s="18"/>
      <c r="CW5" s="18"/>
      <c r="CX5" s="9"/>
      <c r="CY5" s="18"/>
      <c r="CZ5" s="18"/>
      <c r="DA5" s="18"/>
      <c r="DB5" s="39"/>
      <c r="DC5" s="9"/>
      <c r="DD5" s="18"/>
      <c r="DE5" s="18"/>
      <c r="DF5" s="18"/>
      <c r="DG5" s="39"/>
      <c r="DH5" s="9"/>
      <c r="DI5" s="18"/>
      <c r="DJ5" s="18"/>
      <c r="DK5" s="18"/>
      <c r="DL5" s="18"/>
      <c r="DM5" s="9"/>
      <c r="DN5" s="18"/>
      <c r="DO5" s="18"/>
      <c r="DP5" s="18"/>
      <c r="DQ5" s="39"/>
      <c r="DR5" s="64"/>
      <c r="DS5" s="40"/>
      <c r="DT5" s="39"/>
      <c r="DU5" s="39"/>
      <c r="DV5" s="39"/>
      <c r="DW5" s="9"/>
      <c r="DX5" s="18"/>
      <c r="DY5" s="18"/>
      <c r="DZ5" s="18"/>
      <c r="EA5" s="18"/>
      <c r="EB5" s="9"/>
      <c r="EC5" s="18"/>
      <c r="ED5" s="18"/>
      <c r="EE5" s="18"/>
      <c r="EF5" s="39"/>
      <c r="EG5" s="9"/>
      <c r="EH5" s="18"/>
      <c r="EI5" s="18"/>
      <c r="EJ5" s="18"/>
      <c r="EK5" s="39"/>
      <c r="EL5" s="84">
        <v>14</v>
      </c>
      <c r="EM5" s="87">
        <v>5539</v>
      </c>
      <c r="EN5" s="18"/>
      <c r="EO5" s="87">
        <v>2195</v>
      </c>
      <c r="EP5" s="39">
        <v>0.06</v>
      </c>
      <c r="EQ5" s="18"/>
      <c r="ER5" s="18"/>
      <c r="ES5" s="18"/>
      <c r="ET5" s="18"/>
      <c r="EU5" s="39"/>
      <c r="EV5" s="9"/>
      <c r="EW5" s="18"/>
      <c r="EX5" s="18"/>
      <c r="EY5" s="18"/>
      <c r="EZ5" s="39"/>
      <c r="FA5" s="9"/>
      <c r="FB5" s="18"/>
      <c r="FC5" s="18"/>
      <c r="FD5" s="18"/>
      <c r="FE5" s="39"/>
    </row>
    <row r="6" spans="1:161" x14ac:dyDescent="0.25">
      <c r="A6" s="18" t="s">
        <v>170</v>
      </c>
      <c r="B6" s="84">
        <v>2</v>
      </c>
      <c r="C6" s="18"/>
      <c r="D6" s="87">
        <v>5</v>
      </c>
      <c r="E6" s="87">
        <v>47.29</v>
      </c>
      <c r="F6" s="39">
        <v>7.9000000000000008E-3</v>
      </c>
      <c r="G6" s="9"/>
      <c r="H6" s="18"/>
      <c r="I6" s="18"/>
      <c r="J6" s="18"/>
      <c r="K6" s="39"/>
      <c r="L6" s="84">
        <v>11</v>
      </c>
      <c r="M6" s="87">
        <v>74557.64</v>
      </c>
      <c r="N6" s="87">
        <v>3190.75</v>
      </c>
      <c r="O6" s="40">
        <v>9942.0499999999993</v>
      </c>
      <c r="P6" s="39">
        <v>0.20050000000000001</v>
      </c>
      <c r="Q6" s="84">
        <v>30</v>
      </c>
      <c r="R6" s="87">
        <v>116420.86</v>
      </c>
      <c r="S6" s="87">
        <v>4053.66</v>
      </c>
      <c r="T6" s="87">
        <v>18329.669999999998</v>
      </c>
      <c r="U6" s="39">
        <v>0.31669999999999998</v>
      </c>
      <c r="V6" s="84">
        <v>3</v>
      </c>
      <c r="W6" s="87">
        <v>9159.3496699999996</v>
      </c>
      <c r="X6" s="18"/>
      <c r="Y6" s="18"/>
      <c r="Z6" s="39">
        <v>8.9800000000000005E-2</v>
      </c>
      <c r="AA6" s="84"/>
      <c r="AB6" s="87">
        <v>1252.6300000000001</v>
      </c>
      <c r="AC6" s="87">
        <v>32.94</v>
      </c>
      <c r="AD6" s="18"/>
      <c r="AE6" s="39">
        <v>0.3412</v>
      </c>
      <c r="AF6" s="9"/>
      <c r="AG6" s="18"/>
      <c r="AH6" s="18"/>
      <c r="AI6" s="18"/>
      <c r="AJ6" s="39"/>
      <c r="AK6" s="84">
        <v>3</v>
      </c>
      <c r="AL6" s="87">
        <v>77.97</v>
      </c>
      <c r="AM6" s="18"/>
      <c r="AN6" s="18"/>
      <c r="AO6" s="39">
        <v>3.2000000000000001E-2</v>
      </c>
      <c r="AP6" s="84">
        <v>2</v>
      </c>
      <c r="AQ6" s="87">
        <v>59</v>
      </c>
      <c r="AR6" s="87">
        <v>1695</v>
      </c>
      <c r="AS6" s="87">
        <v>35</v>
      </c>
      <c r="AT6" s="39">
        <v>2.69E-2</v>
      </c>
      <c r="AU6" s="84">
        <v>7</v>
      </c>
      <c r="AV6" s="84">
        <v>32555</v>
      </c>
      <c r="AW6" s="84">
        <v>128</v>
      </c>
      <c r="AX6" s="84">
        <v>412</v>
      </c>
      <c r="AY6" s="39">
        <v>0.65769999999999995</v>
      </c>
      <c r="AZ6" s="84">
        <v>30</v>
      </c>
      <c r="BA6" s="87">
        <v>257101</v>
      </c>
      <c r="BB6" s="87">
        <v>6151</v>
      </c>
      <c r="BC6" s="87">
        <v>5894</v>
      </c>
      <c r="BD6" s="39">
        <v>0.62009999999999998</v>
      </c>
      <c r="BE6" s="84">
        <v>47</v>
      </c>
      <c r="BF6" s="87">
        <v>40314</v>
      </c>
      <c r="BG6" s="87">
        <v>1776</v>
      </c>
      <c r="BH6" s="87">
        <v>9650</v>
      </c>
      <c r="BI6" s="39">
        <v>0.1822</v>
      </c>
      <c r="BJ6" s="84">
        <v>7</v>
      </c>
      <c r="BK6" s="87">
        <v>12170</v>
      </c>
      <c r="BL6" s="87">
        <v>201</v>
      </c>
      <c r="BM6" s="87">
        <v>1368</v>
      </c>
      <c r="BN6" s="39">
        <v>0.05</v>
      </c>
      <c r="BO6" s="9"/>
      <c r="BP6" s="18"/>
      <c r="BQ6" s="18"/>
      <c r="BR6" s="18"/>
      <c r="BS6" s="39"/>
      <c r="BT6" s="84">
        <v>4</v>
      </c>
      <c r="BU6" s="87">
        <v>18</v>
      </c>
      <c r="BV6" s="87">
        <v>18</v>
      </c>
      <c r="BW6" s="87">
        <v>30</v>
      </c>
      <c r="BX6" s="39">
        <v>4.8999999999999998E-3</v>
      </c>
      <c r="BY6" s="84">
        <v>6</v>
      </c>
      <c r="BZ6" s="87">
        <v>12211</v>
      </c>
      <c r="CA6" s="87">
        <v>127</v>
      </c>
      <c r="CB6" s="18"/>
      <c r="CC6" s="39">
        <v>0.35249999999999998</v>
      </c>
      <c r="CD6" s="9"/>
      <c r="CE6" s="18"/>
      <c r="CF6" s="18"/>
      <c r="CG6" s="18"/>
      <c r="CH6" s="39"/>
      <c r="CI6" s="84">
        <v>1</v>
      </c>
      <c r="CJ6" s="87">
        <v>488</v>
      </c>
      <c r="CK6" s="18"/>
      <c r="CL6" s="18"/>
      <c r="CM6" s="39">
        <v>0.02</v>
      </c>
      <c r="CN6" s="9"/>
      <c r="CO6" s="18"/>
      <c r="CP6" s="18"/>
      <c r="CQ6" s="18"/>
      <c r="CR6" s="39"/>
      <c r="CS6" s="9"/>
      <c r="CT6" s="18"/>
      <c r="CU6" s="18"/>
      <c r="CV6" s="18"/>
      <c r="CW6" s="39"/>
      <c r="CX6" s="84">
        <v>1</v>
      </c>
      <c r="CY6" s="18"/>
      <c r="CZ6" s="87">
        <v>2</v>
      </c>
      <c r="DA6" s="18"/>
      <c r="DB6" s="39">
        <v>5.9999999999999995E-4</v>
      </c>
      <c r="DC6" s="9">
        <v>26</v>
      </c>
      <c r="DD6" s="18">
        <v>457.67</v>
      </c>
      <c r="DE6" s="18">
        <v>357.77</v>
      </c>
      <c r="DF6" s="18">
        <v>1634.97</v>
      </c>
      <c r="DG6" s="39">
        <v>7.4999999999999997E-3</v>
      </c>
      <c r="DH6" s="9"/>
      <c r="DI6" s="18"/>
      <c r="DJ6" s="18"/>
      <c r="DK6" s="18"/>
      <c r="DL6" s="65"/>
      <c r="DM6" s="84">
        <v>1</v>
      </c>
      <c r="DN6" s="87">
        <v>61.49</v>
      </c>
      <c r="DO6" s="18"/>
      <c r="DP6" s="18"/>
      <c r="DQ6" s="39">
        <v>3.2000000000000002E-3</v>
      </c>
      <c r="DR6" s="64">
        <v>11</v>
      </c>
      <c r="DS6" s="40">
        <v>6987.67</v>
      </c>
      <c r="DT6" s="40">
        <v>115.38</v>
      </c>
      <c r="DU6" s="40">
        <v>491.16</v>
      </c>
      <c r="DV6" s="39">
        <v>2.7400000000000001E-2</v>
      </c>
      <c r="DW6" s="9"/>
      <c r="DX6" s="18"/>
      <c r="DY6" s="18"/>
      <c r="DZ6" s="18"/>
      <c r="EA6" s="18"/>
      <c r="EB6" s="84"/>
      <c r="EC6" s="87"/>
      <c r="ED6" s="87"/>
      <c r="EE6" s="87"/>
      <c r="EF6" s="39"/>
      <c r="EG6" s="84">
        <v>31</v>
      </c>
      <c r="EH6" s="87">
        <v>81288</v>
      </c>
      <c r="EI6" s="87">
        <v>3907</v>
      </c>
      <c r="EJ6" s="87">
        <v>5012</v>
      </c>
      <c r="EK6" s="39">
        <v>0.45650000000000002</v>
      </c>
      <c r="EL6" s="84">
        <v>55</v>
      </c>
      <c r="EM6" s="87">
        <v>518</v>
      </c>
      <c r="EN6" s="87">
        <v>843</v>
      </c>
      <c r="EO6" s="87">
        <v>9036</v>
      </c>
      <c r="EP6" s="39">
        <v>8.0600000000000005E-2</v>
      </c>
      <c r="EQ6" s="18"/>
      <c r="ER6" s="87">
        <v>6801</v>
      </c>
      <c r="ES6" s="87">
        <v>1168</v>
      </c>
      <c r="ET6" s="87">
        <v>1141</v>
      </c>
      <c r="EU6" s="39">
        <v>5.5E-2</v>
      </c>
      <c r="EV6" s="9">
        <v>11</v>
      </c>
      <c r="EW6" s="18">
        <v>1.46</v>
      </c>
      <c r="EX6" s="18">
        <v>1.37</v>
      </c>
      <c r="EY6" s="18">
        <v>1.79</v>
      </c>
      <c r="EZ6" s="39">
        <v>2.2000000000000001E-3</v>
      </c>
      <c r="FA6" s="84">
        <v>65</v>
      </c>
      <c r="FB6" s="87">
        <v>12397</v>
      </c>
      <c r="FC6" s="87">
        <v>1392</v>
      </c>
      <c r="FD6" s="87">
        <v>16302</v>
      </c>
      <c r="FE6" s="39">
        <v>0.2661</v>
      </c>
    </row>
    <row r="7" spans="1:161" x14ac:dyDescent="0.25">
      <c r="A7" s="18" t="s">
        <v>171</v>
      </c>
      <c r="B7" s="9"/>
      <c r="C7" s="18"/>
      <c r="D7" s="18"/>
      <c r="E7" s="18"/>
      <c r="F7" s="39"/>
      <c r="G7" s="9">
        <v>5</v>
      </c>
      <c r="H7" s="87">
        <v>4910</v>
      </c>
      <c r="I7" s="87">
        <v>152</v>
      </c>
      <c r="J7" s="18"/>
      <c r="K7" s="39">
        <v>0.76</v>
      </c>
      <c r="L7" s="84">
        <v>49</v>
      </c>
      <c r="M7" s="87">
        <v>74832.63</v>
      </c>
      <c r="N7" s="87">
        <v>6353.72</v>
      </c>
      <c r="O7" s="40">
        <v>15482.25</v>
      </c>
      <c r="P7" s="39">
        <v>0.221</v>
      </c>
      <c r="Q7" s="84">
        <v>170</v>
      </c>
      <c r="R7" s="87">
        <v>52774.33</v>
      </c>
      <c r="S7" s="87">
        <v>3045.56</v>
      </c>
      <c r="T7" s="87">
        <v>42293.83</v>
      </c>
      <c r="U7" s="39">
        <v>0.2238</v>
      </c>
      <c r="V7" s="84">
        <v>98</v>
      </c>
      <c r="W7" s="87">
        <v>44168.376900000003</v>
      </c>
      <c r="X7" s="87">
        <v>4167.2171600000001</v>
      </c>
      <c r="Y7" s="87">
        <v>1355.9210700000001</v>
      </c>
      <c r="Z7" s="39">
        <v>0.48730000000000001</v>
      </c>
      <c r="AA7" s="84"/>
      <c r="AB7" s="87">
        <v>1373.97</v>
      </c>
      <c r="AC7" s="87">
        <v>262.04000000000002</v>
      </c>
      <c r="AD7" s="87">
        <v>843.19</v>
      </c>
      <c r="AE7" s="39">
        <v>0.65790000000000004</v>
      </c>
      <c r="AF7" s="9">
        <v>5</v>
      </c>
      <c r="AG7" s="87">
        <v>6335</v>
      </c>
      <c r="AH7" s="87">
        <v>1342</v>
      </c>
      <c r="AI7" s="18"/>
      <c r="AJ7" s="39">
        <v>0.53</v>
      </c>
      <c r="AK7" s="84">
        <v>4</v>
      </c>
      <c r="AL7" s="87">
        <v>2130.34</v>
      </c>
      <c r="AM7" s="87">
        <v>213.47</v>
      </c>
      <c r="AN7" s="87">
        <v>15.43</v>
      </c>
      <c r="AO7" s="39">
        <v>0.96</v>
      </c>
      <c r="AP7" s="84">
        <v>66</v>
      </c>
      <c r="AQ7" s="87">
        <v>13361</v>
      </c>
      <c r="AR7" s="87">
        <v>982</v>
      </c>
      <c r="AS7" s="87">
        <v>2393</v>
      </c>
      <c r="AT7" s="39">
        <v>0.14180000000000001</v>
      </c>
      <c r="AU7" s="84">
        <v>60</v>
      </c>
      <c r="AV7" s="84">
        <v>12979</v>
      </c>
      <c r="AW7" s="84">
        <v>417</v>
      </c>
      <c r="AX7" s="84">
        <v>3817</v>
      </c>
      <c r="AY7" s="39">
        <v>0.34210000000000002</v>
      </c>
      <c r="AZ7" s="84">
        <v>126</v>
      </c>
      <c r="BA7" s="87">
        <v>34788</v>
      </c>
      <c r="BB7" s="87">
        <v>1431</v>
      </c>
      <c r="BC7" s="87">
        <v>7720</v>
      </c>
      <c r="BD7" s="39">
        <v>0.1012</v>
      </c>
      <c r="BE7" s="84">
        <v>159</v>
      </c>
      <c r="BF7" s="87">
        <v>24638</v>
      </c>
      <c r="BG7" s="87">
        <v>3108</v>
      </c>
      <c r="BH7" s="87">
        <v>17840</v>
      </c>
      <c r="BI7" s="39">
        <v>0.1605</v>
      </c>
      <c r="BJ7" s="84">
        <v>136</v>
      </c>
      <c r="BK7" s="87">
        <v>83035</v>
      </c>
      <c r="BL7" s="87">
        <v>4895</v>
      </c>
      <c r="BM7" s="87">
        <v>9458</v>
      </c>
      <c r="BN7" s="39">
        <v>0.36</v>
      </c>
      <c r="BO7" s="84">
        <v>4</v>
      </c>
      <c r="BP7" s="87">
        <v>315</v>
      </c>
      <c r="BQ7" s="87">
        <v>120</v>
      </c>
      <c r="BR7" s="18">
        <v>48</v>
      </c>
      <c r="BS7" s="39">
        <v>0.10100000000000001</v>
      </c>
      <c r="BT7" s="84">
        <v>16</v>
      </c>
      <c r="BU7" s="87">
        <v>2708</v>
      </c>
      <c r="BV7" s="87">
        <v>1309</v>
      </c>
      <c r="BW7" s="87">
        <v>34</v>
      </c>
      <c r="BX7" s="39">
        <v>0.30530000000000002</v>
      </c>
      <c r="BY7" s="84">
        <v>21</v>
      </c>
      <c r="BZ7" s="87">
        <v>3655</v>
      </c>
      <c r="CA7" s="87">
        <v>152</v>
      </c>
      <c r="CB7" s="87">
        <v>1986</v>
      </c>
      <c r="CC7" s="39">
        <v>0.16550000000000001</v>
      </c>
      <c r="CD7" s="84">
        <v>1</v>
      </c>
      <c r="CE7" s="87">
        <v>10.11</v>
      </c>
      <c r="CF7" s="87">
        <v>22.7</v>
      </c>
      <c r="CG7" s="87">
        <v>0.19</v>
      </c>
      <c r="CH7" s="39">
        <v>3.2399999999999998E-2</v>
      </c>
      <c r="CI7" s="84">
        <v>3</v>
      </c>
      <c r="CJ7" s="87">
        <v>25702</v>
      </c>
      <c r="CK7" s="18">
        <v>92</v>
      </c>
      <c r="CL7" s="18"/>
      <c r="CM7" s="39">
        <v>0.98</v>
      </c>
      <c r="CN7" s="9"/>
      <c r="CO7" s="85">
        <v>7379.5221463644993</v>
      </c>
      <c r="CP7" s="86">
        <v>8334.0256491</v>
      </c>
      <c r="CQ7" s="87">
        <v>22397.293732800023</v>
      </c>
      <c r="CR7" s="39">
        <v>0.26919999999999999</v>
      </c>
      <c r="CS7" s="84">
        <v>6</v>
      </c>
      <c r="CT7" s="87">
        <v>4.13</v>
      </c>
      <c r="CU7" s="87">
        <v>47.12</v>
      </c>
      <c r="CV7" s="18"/>
      <c r="CW7" s="39">
        <v>9.01E-2</v>
      </c>
      <c r="CX7" s="84">
        <v>5</v>
      </c>
      <c r="CY7" s="18"/>
      <c r="CZ7" s="87">
        <v>41</v>
      </c>
      <c r="DA7" s="87">
        <v>450</v>
      </c>
      <c r="DB7" s="39">
        <v>0.1331</v>
      </c>
      <c r="DC7" s="9">
        <v>139</v>
      </c>
      <c r="DD7" s="18">
        <v>36541.17</v>
      </c>
      <c r="DE7" s="18">
        <v>2898.25</v>
      </c>
      <c r="DF7" s="18">
        <v>5195.08</v>
      </c>
      <c r="DG7" s="39">
        <v>0.13600000000000001</v>
      </c>
      <c r="DH7" s="84">
        <v>1</v>
      </c>
      <c r="DI7" s="87">
        <v>188</v>
      </c>
      <c r="DJ7" s="18"/>
      <c r="DK7" s="18"/>
      <c r="DL7" s="39">
        <v>4.0000000000000001E-3</v>
      </c>
      <c r="DM7" s="84">
        <v>39</v>
      </c>
      <c r="DN7" s="87">
        <v>3553.82</v>
      </c>
      <c r="DO7" s="87">
        <v>882.33</v>
      </c>
      <c r="DP7" s="87">
        <v>48.64</v>
      </c>
      <c r="DQ7" s="39">
        <v>0.2354</v>
      </c>
      <c r="DR7" s="64">
        <v>177</v>
      </c>
      <c r="DS7" s="40">
        <v>82585.09</v>
      </c>
      <c r="DT7" s="40">
        <v>4633.7700000000004</v>
      </c>
      <c r="DU7" s="40">
        <v>1556.83</v>
      </c>
      <c r="DV7" s="39">
        <v>0.32040000000000002</v>
      </c>
      <c r="DW7" s="84">
        <v>10</v>
      </c>
      <c r="DX7" s="87">
        <v>205.94</v>
      </c>
      <c r="DY7" s="87">
        <v>85.83</v>
      </c>
      <c r="DZ7" s="87">
        <v>31.18</v>
      </c>
      <c r="EA7" s="39">
        <v>7.8700000000000006E-2</v>
      </c>
      <c r="EB7" s="84">
        <v>3</v>
      </c>
      <c r="EC7" s="87">
        <v>681.66</v>
      </c>
      <c r="ED7" s="87">
        <v>53.99</v>
      </c>
      <c r="EE7" s="87"/>
      <c r="EF7" s="39">
        <v>4.7000000000000002E-3</v>
      </c>
      <c r="EG7" s="84">
        <v>96</v>
      </c>
      <c r="EH7" s="87">
        <v>44344</v>
      </c>
      <c r="EI7" s="87">
        <v>3172</v>
      </c>
      <c r="EJ7" s="87">
        <v>5173</v>
      </c>
      <c r="EK7" s="39">
        <v>0.26669999999999999</v>
      </c>
      <c r="EL7" s="84">
        <v>190</v>
      </c>
      <c r="EM7" s="87">
        <v>169</v>
      </c>
      <c r="EN7" s="87">
        <v>9312</v>
      </c>
      <c r="EO7" s="87">
        <v>20917</v>
      </c>
      <c r="EP7" s="39">
        <v>0.23580000000000001</v>
      </c>
      <c r="EQ7" s="9"/>
      <c r="ER7" s="87">
        <v>11853</v>
      </c>
      <c r="ES7" s="87">
        <v>12570</v>
      </c>
      <c r="ET7" s="87">
        <v>10602</v>
      </c>
      <c r="EU7" s="39">
        <v>0.21129999999999999</v>
      </c>
      <c r="EV7" s="9">
        <v>190</v>
      </c>
      <c r="EW7" s="18">
        <v>194.49</v>
      </c>
      <c r="EX7" s="18">
        <v>113.04</v>
      </c>
      <c r="EY7" s="18">
        <v>159.57</v>
      </c>
      <c r="EZ7" s="39">
        <v>0.22489999999999999</v>
      </c>
      <c r="FA7" s="84">
        <v>63</v>
      </c>
      <c r="FB7" s="87">
        <v>17017</v>
      </c>
      <c r="FC7" s="87">
        <v>27566</v>
      </c>
      <c r="FD7" s="87">
        <v>459</v>
      </c>
      <c r="FE7" s="39">
        <v>0.39829999999999999</v>
      </c>
    </row>
    <row r="8" spans="1:161" x14ac:dyDescent="0.25">
      <c r="A8" s="18" t="s">
        <v>172</v>
      </c>
      <c r="B8" s="9">
        <v>1</v>
      </c>
      <c r="C8" s="87">
        <v>2209.31</v>
      </c>
      <c r="D8" s="87">
        <v>40.74</v>
      </c>
      <c r="E8" s="87">
        <v>3.11</v>
      </c>
      <c r="F8" s="39">
        <v>0.34060000000000001</v>
      </c>
      <c r="G8" s="9"/>
      <c r="H8" s="18"/>
      <c r="I8" s="18"/>
      <c r="J8" s="18"/>
      <c r="K8" s="39"/>
      <c r="L8" s="84">
        <v>3</v>
      </c>
      <c r="M8" s="87">
        <v>243545.97</v>
      </c>
      <c r="N8" s="87">
        <v>9532.75</v>
      </c>
      <c r="O8" s="37"/>
      <c r="P8" s="39">
        <v>0.57850000000000001</v>
      </c>
      <c r="Q8" s="84">
        <v>1</v>
      </c>
      <c r="R8" s="87">
        <v>181260.65</v>
      </c>
      <c r="S8" s="87">
        <v>8482.5400000000009</v>
      </c>
      <c r="T8" s="87">
        <v>11657.01</v>
      </c>
      <c r="U8" s="39">
        <v>0.45950000000000002</v>
      </c>
      <c r="V8" s="84">
        <v>15</v>
      </c>
      <c r="W8" s="87">
        <v>38829.903720000002</v>
      </c>
      <c r="X8" s="87">
        <v>3499.96821</v>
      </c>
      <c r="Y8" s="87">
        <v>95.371070000000003</v>
      </c>
      <c r="Z8" s="39">
        <v>0.41599999999999998</v>
      </c>
      <c r="AA8" s="84"/>
      <c r="AB8" s="87">
        <v>3.5</v>
      </c>
      <c r="AC8" s="18"/>
      <c r="AD8" s="18"/>
      <c r="AE8" s="39">
        <v>8.9999999999999998E-4</v>
      </c>
      <c r="AF8" s="9">
        <v>3</v>
      </c>
      <c r="AG8" s="87">
        <v>6674</v>
      </c>
      <c r="AH8" s="87">
        <v>264</v>
      </c>
      <c r="AI8" s="18"/>
      <c r="AJ8" s="39">
        <v>0.47</v>
      </c>
      <c r="AK8" s="84">
        <v>12</v>
      </c>
      <c r="AL8" s="87">
        <v>20.04</v>
      </c>
      <c r="AM8" s="18"/>
      <c r="AN8" s="18"/>
      <c r="AO8" s="39">
        <v>8.0000000000000002E-3</v>
      </c>
      <c r="AP8" s="84">
        <v>11</v>
      </c>
      <c r="AQ8" s="87">
        <v>6932</v>
      </c>
      <c r="AR8" s="87">
        <v>475</v>
      </c>
      <c r="AS8" s="87">
        <v>75</v>
      </c>
      <c r="AT8" s="39">
        <v>6.4899999999999999E-2</v>
      </c>
      <c r="AU8" s="9"/>
      <c r="AV8" s="18"/>
      <c r="AW8" s="18"/>
      <c r="AX8" s="18"/>
      <c r="AY8" s="39"/>
      <c r="AZ8" s="84">
        <v>6</v>
      </c>
      <c r="BA8" s="87">
        <v>110305</v>
      </c>
      <c r="BB8" s="87">
        <v>5684</v>
      </c>
      <c r="BC8" s="87">
        <v>994</v>
      </c>
      <c r="BD8" s="39">
        <v>0.26950000000000002</v>
      </c>
      <c r="BE8" s="84">
        <v>6</v>
      </c>
      <c r="BF8" s="87">
        <v>146730</v>
      </c>
      <c r="BG8" s="87">
        <v>11855</v>
      </c>
      <c r="BH8" s="87">
        <v>6812</v>
      </c>
      <c r="BI8" s="39">
        <v>0.58230000000000004</v>
      </c>
      <c r="BJ8" s="84">
        <v>31</v>
      </c>
      <c r="BK8" s="87">
        <v>136439</v>
      </c>
      <c r="BL8" s="87">
        <v>5347</v>
      </c>
      <c r="BM8" s="87">
        <v>7360</v>
      </c>
      <c r="BN8" s="39">
        <v>0.56000000000000005</v>
      </c>
      <c r="BO8" s="84">
        <v>1</v>
      </c>
      <c r="BP8" s="87">
        <v>4010</v>
      </c>
      <c r="BQ8" s="87">
        <v>292</v>
      </c>
      <c r="BR8" s="18"/>
      <c r="BS8" s="39">
        <v>0.89700000000000002</v>
      </c>
      <c r="BT8" s="84">
        <v>1</v>
      </c>
      <c r="BU8" s="87">
        <v>7793</v>
      </c>
      <c r="BV8" s="87">
        <v>1337</v>
      </c>
      <c r="BW8" s="87">
        <v>25</v>
      </c>
      <c r="BX8" s="39">
        <v>0.68969999999999998</v>
      </c>
      <c r="BY8" s="84">
        <v>5</v>
      </c>
      <c r="BZ8" s="87">
        <v>16705</v>
      </c>
      <c r="CA8" s="87">
        <v>411</v>
      </c>
      <c r="CB8" s="87">
        <v>-80</v>
      </c>
      <c r="CC8" s="39">
        <v>0.48670000000000002</v>
      </c>
      <c r="CD8" s="84">
        <v>1</v>
      </c>
      <c r="CE8" s="87">
        <v>995.55</v>
      </c>
      <c r="CF8" s="87">
        <v>6.86</v>
      </c>
      <c r="CG8" s="18"/>
      <c r="CH8" s="39">
        <v>0.96760000000000002</v>
      </c>
      <c r="CI8" s="9"/>
      <c r="CJ8" s="18"/>
      <c r="CK8" s="18"/>
      <c r="CL8" s="18"/>
      <c r="CM8" s="39"/>
      <c r="CN8" s="9"/>
      <c r="CO8" s="85">
        <v>68270.219535196811</v>
      </c>
      <c r="CP8" s="86">
        <v>12538.706670800002</v>
      </c>
      <c r="CQ8" s="87">
        <v>22469.098445600004</v>
      </c>
      <c r="CR8" s="39">
        <v>0.72960000000000003</v>
      </c>
      <c r="CS8" s="84">
        <v>7</v>
      </c>
      <c r="CT8" s="87">
        <v>334.14</v>
      </c>
      <c r="CU8" s="87">
        <v>173.53</v>
      </c>
      <c r="CV8" s="18"/>
      <c r="CW8" s="39">
        <v>0.8921</v>
      </c>
      <c r="CX8" s="84">
        <v>1</v>
      </c>
      <c r="CY8" s="87">
        <v>1890</v>
      </c>
      <c r="CZ8" s="87">
        <v>1273</v>
      </c>
      <c r="DA8" s="87">
        <v>35</v>
      </c>
      <c r="DB8" s="39">
        <v>0.86639999999999995</v>
      </c>
      <c r="DC8" s="9">
        <v>11</v>
      </c>
      <c r="DD8" s="18">
        <v>202382.18</v>
      </c>
      <c r="DE8" s="18">
        <v>9668.07</v>
      </c>
      <c r="DF8" s="18">
        <v>4145.95</v>
      </c>
      <c r="DG8" s="39">
        <v>0.65859999999999996</v>
      </c>
      <c r="DH8" s="84">
        <v>1</v>
      </c>
      <c r="DI8" s="87">
        <v>41579</v>
      </c>
      <c r="DJ8" s="87">
        <v>395</v>
      </c>
      <c r="DK8" s="18">
        <v>13</v>
      </c>
      <c r="DL8" s="39">
        <v>0.996</v>
      </c>
      <c r="DM8" s="84">
        <v>15</v>
      </c>
      <c r="DN8" s="87">
        <v>12663.91</v>
      </c>
      <c r="DO8" s="87">
        <v>539.57000000000005</v>
      </c>
      <c r="DP8" s="87">
        <v>1305.9000000000001</v>
      </c>
      <c r="DQ8" s="39">
        <v>0.76139999999999997</v>
      </c>
      <c r="DR8" s="64">
        <v>2</v>
      </c>
      <c r="DS8" s="40">
        <v>144495.32999999999</v>
      </c>
      <c r="DT8" s="40">
        <v>5103.4799999999996</v>
      </c>
      <c r="DU8" s="40">
        <v>897.25</v>
      </c>
      <c r="DV8" s="39">
        <v>0.54320000000000002</v>
      </c>
      <c r="DW8" s="84">
        <v>7</v>
      </c>
      <c r="DX8" s="87">
        <v>152.09</v>
      </c>
      <c r="DY8" s="87">
        <v>69.959999999999994</v>
      </c>
      <c r="DZ8" s="87"/>
      <c r="EA8" s="39">
        <v>5.4100000000000002E-2</v>
      </c>
      <c r="EB8" s="84">
        <v>1</v>
      </c>
      <c r="EC8" s="87">
        <v>155822</v>
      </c>
      <c r="ED8" s="87">
        <v>215.94</v>
      </c>
      <c r="EE8" s="87"/>
      <c r="EF8" s="39">
        <v>0.99529999999999996</v>
      </c>
      <c r="EG8" s="84"/>
      <c r="EH8" s="87"/>
      <c r="EI8" s="87"/>
      <c r="EJ8" s="87"/>
      <c r="EK8" s="39"/>
      <c r="EL8" s="84">
        <v>40</v>
      </c>
      <c r="EM8" s="87">
        <v>54180</v>
      </c>
      <c r="EN8" s="87">
        <v>17796</v>
      </c>
      <c r="EO8" s="87">
        <v>7164</v>
      </c>
      <c r="EP8" s="39">
        <v>0.6139</v>
      </c>
      <c r="EQ8" s="18"/>
      <c r="ER8" s="87">
        <v>10</v>
      </c>
      <c r="ES8" s="87">
        <v>9</v>
      </c>
      <c r="ET8" s="87">
        <v>2</v>
      </c>
      <c r="EU8" s="39">
        <v>1E-4</v>
      </c>
      <c r="EV8" s="9">
        <v>28</v>
      </c>
      <c r="EW8" s="18">
        <v>38.479999999999997</v>
      </c>
      <c r="EX8" s="18">
        <v>22.99</v>
      </c>
      <c r="EY8" s="18">
        <v>45.72</v>
      </c>
      <c r="EZ8" s="39">
        <v>5.16E-2</v>
      </c>
      <c r="FA8" s="84">
        <v>13</v>
      </c>
      <c r="FB8" s="87">
        <v>34303</v>
      </c>
      <c r="FC8" s="87">
        <v>2338</v>
      </c>
      <c r="FD8" s="87">
        <v>237</v>
      </c>
      <c r="FE8" s="39">
        <v>0.3261</v>
      </c>
    </row>
    <row r="9" spans="1:161" x14ac:dyDescent="0.25">
      <c r="A9" s="18" t="s">
        <v>173</v>
      </c>
      <c r="B9" s="9"/>
      <c r="C9" s="18"/>
      <c r="D9" s="18"/>
      <c r="E9" s="18"/>
      <c r="F9" s="39"/>
      <c r="G9" s="9">
        <v>1</v>
      </c>
      <c r="H9" s="18">
        <v>1552</v>
      </c>
      <c r="I9" s="18">
        <v>38</v>
      </c>
      <c r="J9" s="18"/>
      <c r="K9" s="39">
        <v>0.24</v>
      </c>
      <c r="L9" s="84">
        <v>3</v>
      </c>
      <c r="M9" s="87">
        <v>6.1</v>
      </c>
      <c r="N9" s="18"/>
      <c r="O9" s="37"/>
      <c r="P9" s="18"/>
      <c r="Q9" s="9"/>
      <c r="R9" s="18"/>
      <c r="S9" s="18"/>
      <c r="T9" s="18"/>
      <c r="U9" s="39"/>
      <c r="V9" s="84">
        <v>1</v>
      </c>
      <c r="W9" s="87">
        <v>59.240580000000001</v>
      </c>
      <c r="X9" s="87">
        <v>48.560549999999999</v>
      </c>
      <c r="Y9" s="18"/>
      <c r="Z9" s="39">
        <v>1.1000000000000001E-3</v>
      </c>
      <c r="AA9" s="9"/>
      <c r="AB9" s="18"/>
      <c r="AC9" s="18"/>
      <c r="AD9" s="18"/>
      <c r="AE9" s="39"/>
      <c r="AF9" s="9">
        <v>3</v>
      </c>
      <c r="AG9" s="87">
        <v>3</v>
      </c>
      <c r="AH9" s="18"/>
      <c r="AI9" s="18"/>
      <c r="AJ9" s="39"/>
      <c r="AK9" s="9"/>
      <c r="AL9" s="18"/>
      <c r="AM9" s="18"/>
      <c r="AN9" s="18"/>
      <c r="AO9" s="39"/>
      <c r="AP9" s="84">
        <v>3</v>
      </c>
      <c r="AQ9" s="87">
        <v>2786</v>
      </c>
      <c r="AR9" s="18"/>
      <c r="AS9" s="87">
        <v>49</v>
      </c>
      <c r="AT9" s="39">
        <v>8.0000000000000004E-4</v>
      </c>
      <c r="AU9" s="9"/>
      <c r="AV9" s="18"/>
      <c r="AW9" s="18"/>
      <c r="AX9" s="18"/>
      <c r="AY9" s="39"/>
      <c r="AZ9" s="9"/>
      <c r="BA9" s="18"/>
      <c r="BB9" s="18"/>
      <c r="BC9" s="18"/>
      <c r="BD9" s="39"/>
      <c r="BE9" s="84">
        <v>10</v>
      </c>
      <c r="BF9" s="87">
        <v>225</v>
      </c>
      <c r="BG9" s="87">
        <v>1</v>
      </c>
      <c r="BH9" s="87">
        <v>57</v>
      </c>
      <c r="BI9" s="39">
        <v>1E-3</v>
      </c>
      <c r="BJ9" s="9"/>
      <c r="BK9" s="18"/>
      <c r="BL9" s="18"/>
      <c r="BM9" s="18"/>
      <c r="BN9" s="39"/>
      <c r="BO9" s="9"/>
      <c r="BP9" s="18"/>
      <c r="BQ9" s="18"/>
      <c r="BR9" s="18"/>
      <c r="BS9" s="39"/>
      <c r="BT9" s="84">
        <v>1</v>
      </c>
      <c r="BU9" s="18"/>
      <c r="BV9" s="18"/>
      <c r="BW9" s="18"/>
      <c r="BX9" s="39"/>
      <c r="BY9" s="84">
        <v>8</v>
      </c>
      <c r="BZ9" s="87">
        <v>-173</v>
      </c>
      <c r="CA9" s="18"/>
      <c r="CB9" s="18"/>
      <c r="CC9" s="39">
        <v>-4.8999999999999998E-3</v>
      </c>
      <c r="CD9" s="9"/>
      <c r="CE9" s="18"/>
      <c r="CF9" s="18"/>
      <c r="CG9" s="18"/>
      <c r="CH9" s="39"/>
      <c r="CI9" s="9"/>
      <c r="CJ9" s="18"/>
      <c r="CK9" s="18"/>
      <c r="CL9" s="18"/>
      <c r="CM9" s="39"/>
      <c r="CN9" s="9"/>
      <c r="CO9" s="85">
        <v>-7216.8295809613028</v>
      </c>
      <c r="CP9" s="86">
        <v>1256.1033351000001</v>
      </c>
      <c r="CQ9" s="87">
        <v>6123.0408654000012</v>
      </c>
      <c r="CR9" s="39">
        <v>1.1000000000000001E-3</v>
      </c>
      <c r="CS9" s="84">
        <v>4</v>
      </c>
      <c r="CT9" s="18"/>
      <c r="CU9" s="87">
        <v>10.130000000000001</v>
      </c>
      <c r="CV9" s="18"/>
      <c r="CW9" s="39">
        <v>1.78E-2</v>
      </c>
      <c r="CX9" s="9"/>
      <c r="CY9" s="18"/>
      <c r="CZ9" s="18"/>
      <c r="DA9" s="18"/>
      <c r="DB9" s="39"/>
      <c r="DC9" s="9">
        <v>10</v>
      </c>
      <c r="DD9" s="18">
        <v>21531.360000000001</v>
      </c>
      <c r="DE9" s="18">
        <v>1557.73</v>
      </c>
      <c r="DF9" s="18">
        <v>539.54</v>
      </c>
      <c r="DG9" s="39">
        <v>7.1999999999999995E-2</v>
      </c>
      <c r="DH9" s="9"/>
      <c r="DI9" s="18"/>
      <c r="DJ9" s="18"/>
      <c r="DK9" s="18"/>
      <c r="DL9" s="40"/>
      <c r="DM9" s="9"/>
      <c r="DN9" s="18"/>
      <c r="DO9" s="18"/>
      <c r="DP9" s="18"/>
      <c r="DQ9" s="39"/>
      <c r="DR9" s="64">
        <v>3</v>
      </c>
      <c r="DS9" s="40">
        <v>320.89</v>
      </c>
      <c r="DT9" s="40">
        <v>-0.96</v>
      </c>
      <c r="DU9" s="40">
        <v>-0.63</v>
      </c>
      <c r="DV9" s="39">
        <v>1.1999999999999999E-3</v>
      </c>
      <c r="DW9" s="84">
        <v>11</v>
      </c>
      <c r="DX9" s="87">
        <v>3268.68</v>
      </c>
      <c r="DY9" s="87">
        <v>249.52</v>
      </c>
      <c r="DZ9" s="87">
        <v>41.98</v>
      </c>
      <c r="EA9" s="39">
        <v>0.85699999999999998</v>
      </c>
      <c r="EB9" s="84"/>
      <c r="EC9" s="87"/>
      <c r="ED9" s="87"/>
      <c r="EE9" s="87"/>
      <c r="EF9" s="39"/>
      <c r="EG9" s="84">
        <v>3</v>
      </c>
      <c r="EH9" s="87">
        <v>46548</v>
      </c>
      <c r="EI9" s="87">
        <v>2211</v>
      </c>
      <c r="EJ9" s="87">
        <v>4233</v>
      </c>
      <c r="EK9" s="39">
        <v>0.26819999999999999</v>
      </c>
      <c r="EL9" s="84">
        <v>13</v>
      </c>
      <c r="EM9" s="87">
        <v>765</v>
      </c>
      <c r="EN9" s="87">
        <v>349</v>
      </c>
      <c r="EO9" s="87">
        <v>138</v>
      </c>
      <c r="EP9" s="39">
        <v>9.7000000000000003E-3</v>
      </c>
      <c r="EQ9" s="18"/>
      <c r="ER9" s="87">
        <f>1904+4880</f>
        <v>6784</v>
      </c>
      <c r="ES9" s="87">
        <f>586+1455</f>
        <v>2041</v>
      </c>
      <c r="ET9" s="87">
        <f>167+80</f>
        <v>247</v>
      </c>
      <c r="EU9" s="39">
        <v>5.4699999999999999E-2</v>
      </c>
      <c r="EV9" s="9">
        <v>12</v>
      </c>
      <c r="EW9" s="18">
        <v>7.67</v>
      </c>
      <c r="EX9" s="18">
        <v>3.16</v>
      </c>
      <c r="EY9" s="18">
        <v>174.99</v>
      </c>
      <c r="EZ9" s="39">
        <v>8.9499999999999996E-2</v>
      </c>
      <c r="FA9" s="84">
        <v>20</v>
      </c>
      <c r="FB9" s="87">
        <v>105</v>
      </c>
      <c r="FC9" s="87">
        <v>446</v>
      </c>
      <c r="FD9" s="87">
        <v>253</v>
      </c>
      <c r="FE9" s="39">
        <v>7.1000000000000004E-3</v>
      </c>
    </row>
    <row r="10" spans="1:161" ht="30" x14ac:dyDescent="0.25">
      <c r="A10" s="19" t="s">
        <v>174</v>
      </c>
      <c r="B10" s="9"/>
      <c r="C10" s="18"/>
      <c r="D10" s="18"/>
      <c r="E10" s="18"/>
      <c r="F10" s="39"/>
      <c r="G10" s="9"/>
      <c r="H10" s="18"/>
      <c r="I10" s="18"/>
      <c r="J10" s="18"/>
      <c r="K10" s="39"/>
      <c r="L10" s="9"/>
      <c r="M10" s="18"/>
      <c r="N10" s="18"/>
      <c r="O10" s="37"/>
      <c r="P10" s="18"/>
      <c r="Q10" s="9"/>
      <c r="R10" s="18"/>
      <c r="S10" s="18"/>
      <c r="T10" s="18"/>
      <c r="U10" s="39"/>
      <c r="V10" s="9">
        <v>13</v>
      </c>
      <c r="W10" s="18"/>
      <c r="X10" s="18"/>
      <c r="Y10" s="87">
        <v>599.29322999999999</v>
      </c>
      <c r="Z10" s="39">
        <v>5.8999999999999999E-3</v>
      </c>
      <c r="AA10" s="9"/>
      <c r="AB10" s="18"/>
      <c r="AC10" s="18"/>
      <c r="AD10" s="18"/>
      <c r="AE10" s="39"/>
      <c r="AF10" s="9"/>
      <c r="AG10" s="18"/>
      <c r="AH10" s="18"/>
      <c r="AI10" s="18"/>
      <c r="AJ10" s="39"/>
      <c r="AK10" s="9"/>
      <c r="AL10" s="18"/>
      <c r="AM10" s="18"/>
      <c r="AN10" s="18"/>
      <c r="AO10" s="39"/>
      <c r="AP10" s="9">
        <v>11</v>
      </c>
      <c r="AQ10" s="18">
        <v>8</v>
      </c>
      <c r="AR10" s="18"/>
      <c r="AS10" s="18">
        <v>501</v>
      </c>
      <c r="AT10" s="39">
        <v>4.1000000000000003E-3</v>
      </c>
      <c r="AU10" s="9"/>
      <c r="AV10" s="18"/>
      <c r="AW10" s="18"/>
      <c r="AX10" s="18"/>
      <c r="AY10" s="39"/>
      <c r="AZ10" s="9"/>
      <c r="BA10" s="18"/>
      <c r="BB10" s="18"/>
      <c r="BC10" s="18"/>
      <c r="BD10" s="39"/>
      <c r="BE10" s="84">
        <v>18</v>
      </c>
      <c r="BF10" s="87">
        <v>120</v>
      </c>
      <c r="BG10" s="87">
        <v>2</v>
      </c>
      <c r="BH10" s="87">
        <v>20900</v>
      </c>
      <c r="BI10" s="39">
        <v>7.3999999999999996E-2</v>
      </c>
      <c r="BJ10" s="9"/>
      <c r="BK10" s="18"/>
      <c r="BL10" s="18"/>
      <c r="BM10" s="18"/>
      <c r="BN10" s="39"/>
      <c r="BO10" s="9"/>
      <c r="BP10" s="18"/>
      <c r="BQ10" s="18"/>
      <c r="BR10" s="18"/>
      <c r="BS10" s="39"/>
      <c r="BT10" s="9"/>
      <c r="BU10" s="18"/>
      <c r="BV10" s="18"/>
      <c r="BW10" s="18"/>
      <c r="BX10" s="39"/>
      <c r="BY10" s="9"/>
      <c r="BZ10" s="18"/>
      <c r="CA10" s="18"/>
      <c r="CB10" s="18"/>
      <c r="CC10" s="39"/>
      <c r="CD10" s="9"/>
      <c r="CE10" s="18"/>
      <c r="CF10" s="18"/>
      <c r="CG10" s="18"/>
      <c r="CH10" s="39"/>
      <c r="CI10" s="9"/>
      <c r="CJ10" s="18"/>
      <c r="CK10" s="18"/>
      <c r="CL10" s="18"/>
      <c r="CM10" s="39"/>
      <c r="CN10" s="9"/>
      <c r="CO10" s="18"/>
      <c r="CP10" s="18"/>
      <c r="CQ10" s="18"/>
      <c r="CR10" s="39"/>
      <c r="CS10" s="9"/>
      <c r="CT10" s="18"/>
      <c r="CU10" s="18"/>
      <c r="CV10" s="18"/>
      <c r="CW10" s="18"/>
      <c r="CX10" s="9"/>
      <c r="CY10" s="18"/>
      <c r="CZ10" s="18"/>
      <c r="DA10" s="18"/>
      <c r="DB10" s="39"/>
      <c r="DC10" s="9"/>
      <c r="DD10" s="18"/>
      <c r="DE10" s="18"/>
      <c r="DF10" s="18"/>
      <c r="DG10" s="39"/>
      <c r="DH10" s="9"/>
      <c r="DI10" s="18"/>
      <c r="DJ10" s="18"/>
      <c r="DK10" s="18"/>
      <c r="DL10" s="40"/>
      <c r="DM10" s="9"/>
      <c r="DN10" s="18"/>
      <c r="DO10" s="18"/>
      <c r="DP10" s="18"/>
      <c r="DQ10" s="39"/>
      <c r="DR10" s="64"/>
      <c r="DS10" s="40"/>
      <c r="DT10" s="40"/>
      <c r="DU10" s="40"/>
      <c r="DV10" s="39"/>
      <c r="DW10" s="9"/>
      <c r="DX10" s="18"/>
      <c r="DY10" s="18"/>
      <c r="DZ10" s="18"/>
      <c r="EA10" s="18"/>
      <c r="EB10" s="9"/>
      <c r="EC10" s="18"/>
      <c r="ED10" s="18"/>
      <c r="EE10" s="18"/>
      <c r="EF10" s="39"/>
      <c r="EG10" s="84"/>
      <c r="EH10" s="87"/>
      <c r="EI10" s="87"/>
      <c r="EJ10" s="87"/>
      <c r="EK10" s="39"/>
      <c r="EL10" s="9"/>
      <c r="EM10" s="18"/>
      <c r="EN10" s="18"/>
      <c r="EO10" s="18"/>
      <c r="EP10" s="39"/>
      <c r="EQ10" s="18"/>
      <c r="ER10" s="87">
        <v>82886</v>
      </c>
      <c r="ES10" s="87">
        <v>6005</v>
      </c>
      <c r="ET10" s="87">
        <v>22759</v>
      </c>
      <c r="EU10" s="39">
        <v>0.6734</v>
      </c>
      <c r="EV10" s="9">
        <v>24</v>
      </c>
      <c r="EW10" s="18">
        <v>816.43</v>
      </c>
      <c r="EX10" s="18">
        <v>194.78</v>
      </c>
      <c r="EY10" s="18">
        <v>300.81</v>
      </c>
      <c r="EZ10" s="39">
        <v>0.63180000000000003</v>
      </c>
      <c r="FA10" s="84">
        <v>11</v>
      </c>
      <c r="FB10" s="18"/>
      <c r="FC10" s="18"/>
      <c r="FD10" s="87">
        <v>259</v>
      </c>
      <c r="FE10" s="39">
        <v>2.3E-3</v>
      </c>
    </row>
    <row r="11" spans="1:161" x14ac:dyDescent="0.25">
      <c r="A11" s="19" t="s">
        <v>32</v>
      </c>
      <c r="B11" s="9"/>
      <c r="C11" s="18"/>
      <c r="D11" s="18"/>
      <c r="E11" s="18"/>
      <c r="F11" s="39"/>
      <c r="G11" s="9"/>
      <c r="H11" s="18"/>
      <c r="I11" s="18"/>
      <c r="J11" s="18"/>
      <c r="K11" s="39"/>
      <c r="L11" s="9"/>
      <c r="M11" s="18"/>
      <c r="N11" s="18"/>
      <c r="O11" s="37"/>
      <c r="P11" s="18"/>
      <c r="Q11" s="9"/>
      <c r="R11" s="18"/>
      <c r="S11" s="18"/>
      <c r="T11" s="18"/>
      <c r="U11" s="39"/>
      <c r="V11" s="9"/>
      <c r="W11" s="18"/>
      <c r="X11" s="18"/>
      <c r="Y11" s="18"/>
      <c r="Z11" s="39"/>
      <c r="AA11" s="9"/>
      <c r="AB11" s="18"/>
      <c r="AC11" s="18"/>
      <c r="AD11" s="18"/>
      <c r="AE11" s="39"/>
      <c r="AF11" s="9"/>
      <c r="AG11" s="18"/>
      <c r="AH11" s="18"/>
      <c r="AI11" s="18"/>
      <c r="AJ11" s="39"/>
      <c r="AK11" s="9"/>
      <c r="AL11" s="18"/>
      <c r="AM11" s="18"/>
      <c r="AN11" s="18"/>
      <c r="AO11" s="39"/>
      <c r="AP11" s="9">
        <v>9</v>
      </c>
      <c r="AQ11" s="18">
        <f>25567+59014</f>
        <v>84581</v>
      </c>
      <c r="AR11" s="18">
        <f>4703+3667</f>
        <v>8370</v>
      </c>
      <c r="AS11" s="18">
        <f>480+298</f>
        <v>778</v>
      </c>
      <c r="AT11" s="39">
        <v>0.76149999999999995</v>
      </c>
      <c r="AU11" s="9"/>
      <c r="AV11" s="18"/>
      <c r="AW11" s="18"/>
      <c r="AX11" s="18"/>
      <c r="AY11" s="39"/>
      <c r="AZ11" s="9"/>
      <c r="BA11" s="18"/>
      <c r="BB11" s="18"/>
      <c r="BC11" s="18"/>
      <c r="BD11" s="39"/>
      <c r="BE11" s="9"/>
      <c r="BF11" s="18"/>
      <c r="BG11" s="18"/>
      <c r="BH11" s="18"/>
      <c r="BI11" s="39"/>
      <c r="BJ11" s="9"/>
      <c r="BK11" s="18"/>
      <c r="BL11" s="18"/>
      <c r="BM11" s="18"/>
      <c r="BN11" s="39"/>
      <c r="BO11" s="9"/>
      <c r="BP11" s="18"/>
      <c r="BQ11" s="18"/>
      <c r="BR11" s="18"/>
      <c r="BS11" s="39"/>
      <c r="BT11" s="9"/>
      <c r="BU11" s="18"/>
      <c r="BV11" s="18"/>
      <c r="BW11" s="18"/>
      <c r="BX11" s="39"/>
      <c r="BY11" s="9"/>
      <c r="BZ11" s="18"/>
      <c r="CA11" s="18"/>
      <c r="CB11" s="18"/>
      <c r="CC11" s="39"/>
      <c r="CD11" s="9"/>
      <c r="CE11" s="18"/>
      <c r="CF11" s="18"/>
      <c r="CG11" s="18"/>
      <c r="CH11" s="39"/>
      <c r="CI11" s="9"/>
      <c r="CJ11" s="18"/>
      <c r="CK11" s="18"/>
      <c r="CL11" s="18"/>
      <c r="CM11" s="39"/>
      <c r="CN11" s="9"/>
      <c r="CO11" s="18"/>
      <c r="CP11" s="18"/>
      <c r="CQ11" s="18"/>
      <c r="CR11" s="39"/>
      <c r="CS11" s="9"/>
      <c r="CT11" s="18"/>
      <c r="CU11" s="18"/>
      <c r="CV11" s="18"/>
      <c r="CW11" s="18"/>
      <c r="CX11" s="9"/>
      <c r="CY11" s="18"/>
      <c r="CZ11" s="18"/>
      <c r="DA11" s="18"/>
      <c r="DB11" s="39"/>
      <c r="DC11" s="9"/>
      <c r="DD11" s="18"/>
      <c r="DE11" s="18"/>
      <c r="DF11" s="18"/>
      <c r="DG11" s="39"/>
      <c r="DH11" s="9"/>
      <c r="DI11" s="18"/>
      <c r="DJ11" s="18"/>
      <c r="DK11" s="18"/>
      <c r="DL11" s="40"/>
      <c r="DM11" s="9"/>
      <c r="DN11" s="18"/>
      <c r="DO11" s="18"/>
      <c r="DP11" s="18"/>
      <c r="DQ11" s="39"/>
      <c r="DR11" s="64"/>
      <c r="DS11" s="40"/>
      <c r="DT11" s="40"/>
      <c r="DU11" s="40"/>
      <c r="DV11" s="39"/>
      <c r="DW11" s="9"/>
      <c r="DX11" s="18"/>
      <c r="DY11" s="18"/>
      <c r="DZ11" s="18"/>
      <c r="EA11" s="18"/>
      <c r="EB11" s="9"/>
      <c r="EC11" s="18"/>
      <c r="ED11" s="18"/>
      <c r="EE11" s="18"/>
      <c r="EF11" s="39"/>
      <c r="EG11" s="84">
        <v>1</v>
      </c>
      <c r="EH11" s="87">
        <v>70</v>
      </c>
      <c r="EI11" s="87"/>
      <c r="EJ11" s="87">
        <v>3</v>
      </c>
      <c r="EK11" s="39">
        <v>4.0000000000000002E-4</v>
      </c>
      <c r="EL11" s="9"/>
      <c r="EM11" s="18"/>
      <c r="EN11" s="18"/>
      <c r="EO11" s="18"/>
      <c r="EP11" s="39"/>
      <c r="EQ11" s="18"/>
      <c r="ER11" s="18">
        <v>5</v>
      </c>
      <c r="ES11" s="18">
        <v>21</v>
      </c>
      <c r="ET11" s="18">
        <v>22</v>
      </c>
      <c r="EU11" s="39">
        <v>2.9999999999999997E-4</v>
      </c>
      <c r="EV11" s="9"/>
      <c r="EW11" s="18"/>
      <c r="EX11" s="18"/>
      <c r="EY11" s="18"/>
      <c r="EZ11" s="39"/>
      <c r="FA11" s="9"/>
      <c r="FB11" s="18"/>
      <c r="FC11" s="18"/>
      <c r="FD11" s="18"/>
      <c r="FE11" s="39"/>
    </row>
    <row r="12" spans="1:161" x14ac:dyDescent="0.25">
      <c r="A12" s="19" t="s">
        <v>175</v>
      </c>
      <c r="B12" s="9"/>
      <c r="C12" s="18"/>
      <c r="D12" s="18"/>
      <c r="E12" s="18"/>
      <c r="F12" s="39"/>
      <c r="G12" s="9"/>
      <c r="H12" s="18"/>
      <c r="I12" s="18"/>
      <c r="J12" s="18"/>
      <c r="K12" s="39"/>
      <c r="L12" s="9"/>
      <c r="M12" s="18"/>
      <c r="N12" s="18"/>
      <c r="O12" s="37"/>
      <c r="P12" s="18"/>
      <c r="Q12" s="9"/>
      <c r="R12" s="18"/>
      <c r="S12" s="18"/>
      <c r="T12" s="18"/>
      <c r="U12" s="39"/>
      <c r="V12" s="9"/>
      <c r="W12" s="18"/>
      <c r="X12" s="18"/>
      <c r="Y12" s="18"/>
      <c r="Z12" s="39"/>
      <c r="AA12" s="9"/>
      <c r="AB12" s="18"/>
      <c r="AC12" s="18"/>
      <c r="AD12" s="18"/>
      <c r="AE12" s="39"/>
      <c r="AF12" s="9"/>
      <c r="AG12" s="18"/>
      <c r="AH12" s="18"/>
      <c r="AI12" s="18"/>
      <c r="AJ12" s="39"/>
      <c r="AK12" s="9"/>
      <c r="AL12" s="18"/>
      <c r="AM12" s="18"/>
      <c r="AN12" s="18"/>
      <c r="AO12" s="39"/>
      <c r="AP12" s="9"/>
      <c r="AQ12" s="18"/>
      <c r="AR12" s="18"/>
      <c r="AS12" s="18"/>
      <c r="AT12" s="39"/>
      <c r="AU12" s="9"/>
      <c r="AV12" s="18"/>
      <c r="AW12" s="18"/>
      <c r="AX12" s="18"/>
      <c r="AY12" s="39"/>
      <c r="AZ12" s="9"/>
      <c r="BA12" s="18"/>
      <c r="BB12" s="18"/>
      <c r="BC12" s="18"/>
      <c r="BD12" s="39"/>
      <c r="BE12" s="9"/>
      <c r="BF12" s="18"/>
      <c r="BG12" s="18"/>
      <c r="BH12" s="18"/>
      <c r="BI12" s="39"/>
      <c r="BJ12" s="9"/>
      <c r="BK12" s="18"/>
      <c r="BL12" s="18"/>
      <c r="BM12" s="18"/>
      <c r="BN12" s="39"/>
      <c r="BO12" s="9"/>
      <c r="BP12" s="18"/>
      <c r="BQ12" s="18"/>
      <c r="BR12" s="18"/>
      <c r="BS12" s="39"/>
      <c r="BT12" s="9"/>
      <c r="BU12" s="18"/>
      <c r="BV12" s="18"/>
      <c r="BW12" s="18"/>
      <c r="BX12" s="39"/>
      <c r="BY12" s="9"/>
      <c r="BZ12" s="18"/>
      <c r="CA12" s="18"/>
      <c r="CB12" s="18"/>
      <c r="CC12" s="39"/>
      <c r="CD12" s="9"/>
      <c r="CE12" s="18"/>
      <c r="CF12" s="18"/>
      <c r="CG12" s="18"/>
      <c r="CH12" s="39"/>
      <c r="CI12" s="9"/>
      <c r="CJ12" s="18"/>
      <c r="CK12" s="18"/>
      <c r="CL12" s="18"/>
      <c r="CM12" s="39"/>
      <c r="CN12" s="9"/>
      <c r="CO12" s="18"/>
      <c r="CP12" s="18"/>
      <c r="CQ12" s="18"/>
      <c r="CR12" s="39"/>
      <c r="CS12" s="9"/>
      <c r="CT12" s="18"/>
      <c r="CU12" s="18"/>
      <c r="CV12" s="18"/>
      <c r="CW12" s="18"/>
      <c r="CX12" s="9"/>
      <c r="CY12" s="18"/>
      <c r="CZ12" s="18"/>
      <c r="DA12" s="18"/>
      <c r="DB12" s="39"/>
      <c r="DC12" s="9"/>
      <c r="DD12" s="18"/>
      <c r="DE12" s="18"/>
      <c r="DF12" s="18"/>
      <c r="DG12" s="39"/>
      <c r="DH12" s="9"/>
      <c r="DI12" s="18"/>
      <c r="DJ12" s="18"/>
      <c r="DK12" s="18"/>
      <c r="DL12" s="40"/>
      <c r="DM12" s="9"/>
      <c r="DN12" s="18"/>
      <c r="DO12" s="18"/>
      <c r="DP12" s="18"/>
      <c r="DQ12" s="39"/>
      <c r="DR12" s="64"/>
      <c r="DS12" s="40"/>
      <c r="DT12" s="40"/>
      <c r="DU12" s="40"/>
      <c r="DV12" s="39"/>
      <c r="DW12" s="9"/>
      <c r="DX12" s="18"/>
      <c r="DY12" s="18"/>
      <c r="DZ12" s="18"/>
      <c r="EA12" s="18"/>
      <c r="EB12" s="9"/>
      <c r="EC12" s="18"/>
      <c r="ED12" s="18"/>
      <c r="EE12" s="18"/>
      <c r="EF12" s="39"/>
      <c r="EG12" s="84"/>
      <c r="EH12" s="87"/>
      <c r="EI12" s="87"/>
      <c r="EJ12" s="87"/>
      <c r="EK12" s="39"/>
      <c r="EL12" s="9"/>
      <c r="EM12" s="18"/>
      <c r="EN12" s="18"/>
      <c r="EO12" s="18"/>
      <c r="EP12" s="39"/>
      <c r="EQ12" s="18"/>
      <c r="ER12" s="18"/>
      <c r="ES12" s="18"/>
      <c r="ET12" s="18"/>
      <c r="EU12" s="39"/>
      <c r="EV12" s="9"/>
      <c r="EW12" s="18"/>
      <c r="EX12" s="18"/>
      <c r="EY12" s="18"/>
      <c r="EZ12" s="39"/>
      <c r="FA12" s="9"/>
      <c r="FB12" s="18"/>
      <c r="FC12" s="18"/>
      <c r="FD12" s="18"/>
      <c r="FE12" s="39"/>
    </row>
    <row r="13" spans="1:161" x14ac:dyDescent="0.25">
      <c r="A13" s="18" t="s">
        <v>176</v>
      </c>
      <c r="B13" s="9"/>
      <c r="C13" s="18"/>
      <c r="D13" s="18"/>
      <c r="E13" s="18"/>
      <c r="F13" s="39"/>
      <c r="G13" s="9"/>
      <c r="H13" s="18"/>
      <c r="I13" s="18"/>
      <c r="J13" s="18"/>
      <c r="K13" s="39"/>
      <c r="L13" s="9"/>
      <c r="M13" s="18"/>
      <c r="N13" s="18"/>
      <c r="O13" s="37"/>
      <c r="P13" s="18"/>
      <c r="Q13" s="9"/>
      <c r="R13" s="18"/>
      <c r="S13" s="18"/>
      <c r="T13" s="18"/>
      <c r="U13" s="39"/>
      <c r="V13" s="9"/>
      <c r="W13" s="18"/>
      <c r="X13" s="18"/>
      <c r="Y13" s="18"/>
      <c r="Z13" s="39"/>
      <c r="AA13" s="9"/>
      <c r="AB13" s="18"/>
      <c r="AC13" s="18"/>
      <c r="AD13" s="18"/>
      <c r="AE13" s="39"/>
      <c r="AF13" s="9"/>
      <c r="AG13" s="18"/>
      <c r="AH13" s="18"/>
      <c r="AI13" s="18"/>
      <c r="AJ13" s="39"/>
      <c r="AK13" s="9"/>
      <c r="AL13" s="18"/>
      <c r="AM13" s="18"/>
      <c r="AN13" s="18"/>
      <c r="AO13" s="39"/>
      <c r="AP13" s="9"/>
      <c r="AQ13" s="18"/>
      <c r="AR13" s="18"/>
      <c r="AS13" s="18"/>
      <c r="AT13" s="39"/>
      <c r="AU13" s="9"/>
      <c r="AV13" s="18"/>
      <c r="AW13" s="18"/>
      <c r="AX13" s="18"/>
      <c r="AY13" s="39"/>
      <c r="AZ13" s="9">
        <v>15</v>
      </c>
      <c r="BA13" s="18"/>
      <c r="BB13" s="18"/>
      <c r="BC13" s="87">
        <v>3994</v>
      </c>
      <c r="BD13" s="39">
        <v>9.1999999999999998E-3</v>
      </c>
      <c r="BE13" s="9"/>
      <c r="BF13" s="18"/>
      <c r="BG13" s="18"/>
      <c r="BH13" s="18"/>
      <c r="BI13" s="39"/>
      <c r="BJ13" s="9">
        <v>15</v>
      </c>
      <c r="BK13" s="18">
        <v>37</v>
      </c>
      <c r="BL13" s="18">
        <v>3</v>
      </c>
      <c r="BM13" s="18">
        <v>7138</v>
      </c>
      <c r="BN13" s="39">
        <v>0.03</v>
      </c>
      <c r="BO13" s="9">
        <v>4</v>
      </c>
      <c r="BP13" s="18"/>
      <c r="BQ13" s="18"/>
      <c r="BR13" s="18">
        <v>9</v>
      </c>
      <c r="BS13" s="39">
        <v>2E-3</v>
      </c>
      <c r="BT13" s="9"/>
      <c r="BU13" s="18"/>
      <c r="BV13" s="18"/>
      <c r="BW13" s="18"/>
      <c r="BX13" s="39"/>
      <c r="BY13" s="9">
        <v>1</v>
      </c>
      <c r="BZ13" s="18"/>
      <c r="CA13" s="18"/>
      <c r="CB13" s="18">
        <v>11</v>
      </c>
      <c r="CC13" s="39">
        <v>2.9999999999999997E-4</v>
      </c>
      <c r="CD13" s="9"/>
      <c r="CE13" s="18"/>
      <c r="CF13" s="18"/>
      <c r="CG13" s="18"/>
      <c r="CH13" s="39"/>
      <c r="CI13" s="9"/>
      <c r="CJ13" s="18"/>
      <c r="CK13" s="18"/>
      <c r="CL13" s="18"/>
      <c r="CM13" s="39"/>
      <c r="CN13" s="9"/>
      <c r="CO13" s="18"/>
      <c r="CP13" s="18"/>
      <c r="CQ13" s="18"/>
      <c r="CR13" s="39"/>
      <c r="CS13" s="9"/>
      <c r="CT13" s="18"/>
      <c r="CU13" s="18"/>
      <c r="CV13" s="18"/>
      <c r="CW13" s="18"/>
      <c r="CX13" s="9"/>
      <c r="CY13" s="18"/>
      <c r="CZ13" s="18"/>
      <c r="DA13" s="18"/>
      <c r="DB13" s="39"/>
      <c r="DC13" s="9">
        <v>28</v>
      </c>
      <c r="DD13" s="18">
        <v>28691.68</v>
      </c>
      <c r="DE13" s="18">
        <v>1124.3900000000001</v>
      </c>
      <c r="DF13" s="18">
        <v>11519.6</v>
      </c>
      <c r="DG13" s="39">
        <v>0.12590000000000001</v>
      </c>
      <c r="DH13" s="9"/>
      <c r="DI13" s="18"/>
      <c r="DJ13" s="18"/>
      <c r="DK13" s="18"/>
      <c r="DL13" s="40"/>
      <c r="DM13" s="9"/>
      <c r="DN13" s="18"/>
      <c r="DO13" s="18"/>
      <c r="DP13" s="18"/>
      <c r="DQ13" s="39"/>
      <c r="DR13" s="64">
        <v>19</v>
      </c>
      <c r="DS13" s="40"/>
      <c r="DT13" s="40"/>
      <c r="DU13" s="40">
        <v>29859.29</v>
      </c>
      <c r="DV13" s="39">
        <v>0.10780000000000001</v>
      </c>
      <c r="DW13" s="9"/>
      <c r="DX13" s="18"/>
      <c r="DY13" s="18"/>
      <c r="DZ13" s="18"/>
      <c r="EA13" s="18"/>
      <c r="EB13" s="9"/>
      <c r="EC13" s="18"/>
      <c r="ED13" s="18"/>
      <c r="EE13" s="18"/>
      <c r="EF13" s="39"/>
      <c r="EG13" s="84">
        <v>11</v>
      </c>
      <c r="EH13" s="87">
        <v>171</v>
      </c>
      <c r="EI13" s="87">
        <v>9</v>
      </c>
      <c r="EJ13" s="87">
        <v>1452</v>
      </c>
      <c r="EK13" s="39">
        <v>8.3000000000000001E-3</v>
      </c>
      <c r="EL13" s="9"/>
      <c r="EM13" s="18"/>
      <c r="EN13" s="18"/>
      <c r="EO13" s="18"/>
      <c r="EP13" s="39"/>
      <c r="EQ13" s="18"/>
      <c r="ER13" s="18"/>
      <c r="ES13" s="18"/>
      <c r="ET13" s="18"/>
      <c r="EU13" s="39"/>
      <c r="EV13" s="9"/>
      <c r="EW13" s="18"/>
      <c r="EX13" s="18"/>
      <c r="EY13" s="18"/>
      <c r="EZ13" s="39"/>
      <c r="FA13" s="9"/>
      <c r="FB13" s="18"/>
      <c r="FC13" s="18"/>
      <c r="FD13" s="18"/>
      <c r="FE13" s="39"/>
    </row>
    <row r="14" spans="1:161" x14ac:dyDescent="0.25">
      <c r="A14" s="18" t="s">
        <v>177</v>
      </c>
      <c r="B14" s="9"/>
      <c r="C14" s="18"/>
      <c r="D14" s="18"/>
      <c r="E14" s="18"/>
      <c r="F14" s="39"/>
      <c r="G14" s="9"/>
      <c r="H14" s="18"/>
      <c r="I14" s="18"/>
      <c r="J14" s="18"/>
      <c r="K14" s="39"/>
      <c r="L14" s="9"/>
      <c r="M14" s="18"/>
      <c r="N14" s="18"/>
      <c r="O14" s="37"/>
      <c r="P14" s="18"/>
      <c r="Q14" s="9"/>
      <c r="R14" s="18"/>
      <c r="S14" s="18"/>
      <c r="T14" s="18"/>
      <c r="U14" s="39"/>
      <c r="V14" s="9"/>
      <c r="W14" s="18"/>
      <c r="X14" s="18"/>
      <c r="Y14" s="18"/>
      <c r="Z14" s="39"/>
      <c r="AA14" s="9"/>
      <c r="AB14" s="18"/>
      <c r="AC14" s="18"/>
      <c r="AD14" s="18"/>
      <c r="AE14" s="39"/>
      <c r="AF14" s="9"/>
      <c r="AG14" s="18"/>
      <c r="AH14" s="18"/>
      <c r="AI14" s="18"/>
      <c r="AJ14" s="39"/>
      <c r="AK14" s="9"/>
      <c r="AL14" s="18"/>
      <c r="AM14" s="18"/>
      <c r="AN14" s="18"/>
      <c r="AO14" s="39"/>
      <c r="AP14" s="9"/>
      <c r="AQ14" s="18"/>
      <c r="AR14" s="18"/>
      <c r="AS14" s="18"/>
      <c r="AT14" s="39"/>
      <c r="AU14" s="9"/>
      <c r="AV14" s="18"/>
      <c r="AW14" s="18"/>
      <c r="AX14" s="18"/>
      <c r="AY14" s="39"/>
      <c r="AZ14" s="9"/>
      <c r="BA14" s="18"/>
      <c r="BB14" s="18"/>
      <c r="BC14" s="18"/>
      <c r="BD14" s="39"/>
      <c r="BE14" s="9"/>
      <c r="BF14" s="18"/>
      <c r="BG14" s="18"/>
      <c r="BH14" s="18"/>
      <c r="BI14" s="39"/>
      <c r="BJ14" s="9"/>
      <c r="BK14" s="18"/>
      <c r="BL14" s="18"/>
      <c r="BM14" s="18"/>
      <c r="BN14" s="39"/>
      <c r="BO14" s="9"/>
      <c r="BP14" s="18"/>
      <c r="BQ14" s="18"/>
      <c r="BR14" s="18"/>
      <c r="BS14" s="39"/>
      <c r="BT14" s="9"/>
      <c r="BU14" s="18"/>
      <c r="BV14" s="18"/>
      <c r="BW14" s="18"/>
      <c r="BX14" s="39"/>
      <c r="BY14" s="9"/>
      <c r="BZ14" s="18"/>
      <c r="CA14" s="18"/>
      <c r="CB14" s="18"/>
      <c r="CC14" s="39"/>
      <c r="CD14" s="9"/>
      <c r="CE14" s="18"/>
      <c r="CF14" s="18"/>
      <c r="CG14" s="18"/>
      <c r="CH14" s="39"/>
      <c r="CI14" s="9"/>
      <c r="CJ14" s="18"/>
      <c r="CK14" s="18"/>
      <c r="CL14" s="18"/>
      <c r="CM14" s="39"/>
      <c r="CN14" s="9"/>
      <c r="CO14" s="18"/>
      <c r="CP14" s="18"/>
      <c r="CQ14" s="18"/>
      <c r="CR14" s="39"/>
      <c r="CS14" s="9"/>
      <c r="CT14" s="18"/>
      <c r="CU14" s="18"/>
      <c r="CV14" s="18"/>
      <c r="CW14" s="18"/>
      <c r="CX14" s="9"/>
      <c r="CY14" s="18"/>
      <c r="CZ14" s="18"/>
      <c r="DA14" s="18"/>
      <c r="DB14" s="39"/>
      <c r="DC14" s="9"/>
      <c r="DD14" s="18"/>
      <c r="DE14" s="18"/>
      <c r="DF14" s="18"/>
      <c r="DG14" s="39"/>
      <c r="DH14" s="9"/>
      <c r="DI14" s="18"/>
      <c r="DJ14" s="18"/>
      <c r="DK14" s="18"/>
      <c r="DL14" s="40"/>
      <c r="DM14" s="9"/>
      <c r="DN14" s="18"/>
      <c r="DO14" s="18"/>
      <c r="DP14" s="18"/>
      <c r="DQ14" s="39"/>
      <c r="DR14" s="64"/>
      <c r="DS14" s="40"/>
      <c r="DT14" s="40"/>
      <c r="DU14" s="40"/>
      <c r="DV14" s="39"/>
      <c r="DW14" s="9"/>
      <c r="DX14" s="18"/>
      <c r="DY14" s="18"/>
      <c r="DZ14" s="18"/>
      <c r="EA14" s="18"/>
      <c r="EB14" s="9"/>
      <c r="EC14" s="18"/>
      <c r="ED14" s="18"/>
      <c r="EE14" s="18"/>
      <c r="EF14" s="39"/>
      <c r="EG14" s="9"/>
      <c r="EH14" s="18"/>
      <c r="EI14" s="18"/>
      <c r="EJ14" s="18"/>
      <c r="EK14" s="39"/>
      <c r="EL14" s="9"/>
      <c r="EM14" s="18"/>
      <c r="EN14" s="18"/>
      <c r="EO14" s="18"/>
      <c r="EP14" s="39"/>
      <c r="EQ14" s="18"/>
      <c r="ER14" s="87">
        <v>787</v>
      </c>
      <c r="ES14" s="18">
        <v>76</v>
      </c>
      <c r="ET14" s="18"/>
      <c r="EU14" s="39">
        <v>5.1999999999999998E-3</v>
      </c>
      <c r="EV14" s="9"/>
      <c r="EW14" s="18"/>
      <c r="EX14" s="18"/>
      <c r="EY14" s="18"/>
      <c r="EZ14" s="39"/>
      <c r="FA14" s="9"/>
      <c r="FB14" s="18"/>
      <c r="FC14" s="18"/>
      <c r="FD14" s="18"/>
      <c r="FE14" s="39"/>
    </row>
    <row r="15" spans="1:161" s="44" customFormat="1" x14ac:dyDescent="0.25">
      <c r="A15" s="20" t="s">
        <v>150</v>
      </c>
      <c r="B15" s="34">
        <f t="shared" ref="B15:U15" si="0">SUM(B5:B14)</f>
        <v>5</v>
      </c>
      <c r="C15" s="20">
        <f t="shared" si="0"/>
        <v>6466.3099999999995</v>
      </c>
      <c r="D15" s="20">
        <f t="shared" si="0"/>
        <v>98.740000000000009</v>
      </c>
      <c r="E15" s="20">
        <f t="shared" si="0"/>
        <v>50.4</v>
      </c>
      <c r="F15" s="41">
        <f t="shared" si="0"/>
        <v>1</v>
      </c>
      <c r="G15" s="34">
        <f t="shared" si="0"/>
        <v>6</v>
      </c>
      <c r="H15" s="20">
        <f t="shared" si="0"/>
        <v>6462</v>
      </c>
      <c r="I15" s="20">
        <f t="shared" si="0"/>
        <v>190</v>
      </c>
      <c r="J15" s="20">
        <f t="shared" si="0"/>
        <v>0</v>
      </c>
      <c r="K15" s="41">
        <f t="shared" si="0"/>
        <v>1</v>
      </c>
      <c r="L15" s="34">
        <f t="shared" si="0"/>
        <v>66</v>
      </c>
      <c r="M15" s="20">
        <f t="shared" si="0"/>
        <v>392942.33999999997</v>
      </c>
      <c r="N15" s="20">
        <f t="shared" si="0"/>
        <v>19077.22</v>
      </c>
      <c r="O15" s="94">
        <f t="shared" si="0"/>
        <v>25424.3</v>
      </c>
      <c r="P15" s="41">
        <f t="shared" si="0"/>
        <v>1</v>
      </c>
      <c r="Q15" s="34">
        <f t="shared" si="0"/>
        <v>201</v>
      </c>
      <c r="R15" s="20">
        <f t="shared" si="0"/>
        <v>350455.83999999997</v>
      </c>
      <c r="S15" s="20">
        <f t="shared" si="0"/>
        <v>15581.76</v>
      </c>
      <c r="T15" s="20">
        <f t="shared" si="0"/>
        <v>72280.509999999995</v>
      </c>
      <c r="U15" s="41">
        <f t="shared" si="0"/>
        <v>1</v>
      </c>
      <c r="V15" s="34">
        <f>SUM(V5:V14)</f>
        <v>130</v>
      </c>
      <c r="W15" s="20">
        <f t="shared" ref="W15:CC15" si="1">SUM(W5:W14)</f>
        <v>92216.870869999999</v>
      </c>
      <c r="X15" s="20">
        <f t="shared" si="1"/>
        <v>7715.7459200000003</v>
      </c>
      <c r="Y15" s="20">
        <f t="shared" si="1"/>
        <v>2050.5853699999998</v>
      </c>
      <c r="Z15" s="41">
        <v>1</v>
      </c>
      <c r="AA15" s="34">
        <f t="shared" si="1"/>
        <v>0</v>
      </c>
      <c r="AB15" s="20">
        <f t="shared" si="1"/>
        <v>2630.1000000000004</v>
      </c>
      <c r="AC15" s="20">
        <f t="shared" si="1"/>
        <v>294.98</v>
      </c>
      <c r="AD15" s="20">
        <f t="shared" si="1"/>
        <v>843.19</v>
      </c>
      <c r="AE15" s="41">
        <v>1</v>
      </c>
      <c r="AF15" s="34">
        <f t="shared" si="1"/>
        <v>11</v>
      </c>
      <c r="AG15" s="20">
        <f t="shared" si="1"/>
        <v>13012</v>
      </c>
      <c r="AH15" s="20">
        <f t="shared" si="1"/>
        <v>1606</v>
      </c>
      <c r="AI15" s="20">
        <f t="shared" si="1"/>
        <v>0</v>
      </c>
      <c r="AJ15" s="41">
        <f t="shared" si="1"/>
        <v>1</v>
      </c>
      <c r="AK15" s="34">
        <f t="shared" si="1"/>
        <v>19</v>
      </c>
      <c r="AL15" s="20">
        <f t="shared" si="1"/>
        <v>2228.35</v>
      </c>
      <c r="AM15" s="20">
        <f t="shared" si="1"/>
        <v>213.47</v>
      </c>
      <c r="AN15" s="20">
        <f t="shared" si="1"/>
        <v>15.43</v>
      </c>
      <c r="AO15" s="41">
        <f t="shared" si="1"/>
        <v>1</v>
      </c>
      <c r="AP15" s="34">
        <f t="shared" si="1"/>
        <v>102</v>
      </c>
      <c r="AQ15" s="20">
        <f t="shared" si="1"/>
        <v>107727</v>
      </c>
      <c r="AR15" s="20">
        <f t="shared" si="1"/>
        <v>11522</v>
      </c>
      <c r="AS15" s="20">
        <f t="shared" si="1"/>
        <v>3831</v>
      </c>
      <c r="AT15" s="41">
        <f t="shared" si="1"/>
        <v>1</v>
      </c>
      <c r="AU15" s="34">
        <f t="shared" si="1"/>
        <v>68</v>
      </c>
      <c r="AV15" s="20">
        <f t="shared" si="1"/>
        <v>45534</v>
      </c>
      <c r="AW15" s="20">
        <f t="shared" si="1"/>
        <v>545</v>
      </c>
      <c r="AX15" s="20">
        <f t="shared" si="1"/>
        <v>4238</v>
      </c>
      <c r="AY15" s="41">
        <f t="shared" si="1"/>
        <v>1</v>
      </c>
      <c r="AZ15" s="34">
        <f t="shared" si="1"/>
        <v>177</v>
      </c>
      <c r="BA15" s="20">
        <f t="shared" si="1"/>
        <v>402194</v>
      </c>
      <c r="BB15" s="20">
        <f t="shared" si="1"/>
        <v>13266</v>
      </c>
      <c r="BC15" s="20">
        <f t="shared" si="1"/>
        <v>18602</v>
      </c>
      <c r="BD15" s="41">
        <f t="shared" si="1"/>
        <v>0.99999999999999989</v>
      </c>
      <c r="BE15" s="34">
        <f t="shared" si="1"/>
        <v>240</v>
      </c>
      <c r="BF15" s="20">
        <f t="shared" si="1"/>
        <v>212027</v>
      </c>
      <c r="BG15" s="20">
        <f t="shared" si="1"/>
        <v>16742</v>
      </c>
      <c r="BH15" s="20">
        <f t="shared" si="1"/>
        <v>55259</v>
      </c>
      <c r="BI15" s="41">
        <f t="shared" si="1"/>
        <v>1</v>
      </c>
      <c r="BJ15" s="34">
        <f t="shared" si="1"/>
        <v>189</v>
      </c>
      <c r="BK15" s="20">
        <f t="shared" si="1"/>
        <v>231681</v>
      </c>
      <c r="BL15" s="20">
        <f t="shared" si="1"/>
        <v>10446</v>
      </c>
      <c r="BM15" s="20">
        <f t="shared" si="1"/>
        <v>25324</v>
      </c>
      <c r="BN15" s="41">
        <f t="shared" si="1"/>
        <v>1</v>
      </c>
      <c r="BO15" s="34">
        <f t="shared" si="1"/>
        <v>9</v>
      </c>
      <c r="BP15" s="20">
        <f t="shared" si="1"/>
        <v>4325</v>
      </c>
      <c r="BQ15" s="20">
        <f t="shared" si="1"/>
        <v>412</v>
      </c>
      <c r="BR15" s="20">
        <f t="shared" si="1"/>
        <v>57</v>
      </c>
      <c r="BS15" s="41">
        <f t="shared" si="1"/>
        <v>1</v>
      </c>
      <c r="BT15" s="34">
        <f t="shared" si="1"/>
        <v>22</v>
      </c>
      <c r="BU15" s="20">
        <f t="shared" si="1"/>
        <v>10519</v>
      </c>
      <c r="BV15" s="20">
        <f t="shared" si="1"/>
        <v>2664</v>
      </c>
      <c r="BW15" s="20">
        <f t="shared" si="1"/>
        <v>89</v>
      </c>
      <c r="BX15" s="41">
        <f t="shared" si="1"/>
        <v>0.99990000000000001</v>
      </c>
      <c r="BY15" s="34">
        <f t="shared" si="1"/>
        <v>41</v>
      </c>
      <c r="BZ15" s="20">
        <f t="shared" si="1"/>
        <v>32398</v>
      </c>
      <c r="CA15" s="20">
        <f t="shared" si="1"/>
        <v>690</v>
      </c>
      <c r="CB15" s="20">
        <f t="shared" si="1"/>
        <v>1917</v>
      </c>
      <c r="CC15" s="41">
        <f t="shared" si="1"/>
        <v>1.0001000000000002</v>
      </c>
      <c r="CD15" s="34">
        <f t="shared" ref="CD15:ET15" si="2">SUM(CD5:CD14)</f>
        <v>2</v>
      </c>
      <c r="CE15" s="20">
        <f t="shared" si="2"/>
        <v>1005.66</v>
      </c>
      <c r="CF15" s="20">
        <f t="shared" si="2"/>
        <v>29.56</v>
      </c>
      <c r="CG15" s="20">
        <f t="shared" si="2"/>
        <v>0.19</v>
      </c>
      <c r="CH15" s="41">
        <f t="shared" si="2"/>
        <v>1</v>
      </c>
      <c r="CI15" s="34">
        <f t="shared" si="2"/>
        <v>4</v>
      </c>
      <c r="CJ15" s="20">
        <f t="shared" si="2"/>
        <v>26190</v>
      </c>
      <c r="CK15" s="20">
        <f t="shared" si="2"/>
        <v>92</v>
      </c>
      <c r="CL15" s="20">
        <f t="shared" si="2"/>
        <v>0</v>
      </c>
      <c r="CM15" s="41">
        <f t="shared" si="2"/>
        <v>1</v>
      </c>
      <c r="CN15" s="34">
        <f t="shared" si="2"/>
        <v>0</v>
      </c>
      <c r="CO15" s="20">
        <f t="shared" si="2"/>
        <v>68432.912100600006</v>
      </c>
      <c r="CP15" s="20">
        <f t="shared" si="2"/>
        <v>22128.835655000003</v>
      </c>
      <c r="CQ15" s="20">
        <f t="shared" si="2"/>
        <v>50989.433043800025</v>
      </c>
      <c r="CR15" s="41">
        <f t="shared" si="2"/>
        <v>0.99990000000000001</v>
      </c>
      <c r="CS15" s="34">
        <f t="shared" si="2"/>
        <v>17</v>
      </c>
      <c r="CT15" s="20">
        <f t="shared" si="2"/>
        <v>338.27</v>
      </c>
      <c r="CU15" s="20">
        <f t="shared" si="2"/>
        <v>230.78</v>
      </c>
      <c r="CV15" s="20">
        <f t="shared" si="2"/>
        <v>0</v>
      </c>
      <c r="CW15" s="41">
        <f t="shared" si="2"/>
        <v>1</v>
      </c>
      <c r="CX15" s="34">
        <f t="shared" si="2"/>
        <v>7</v>
      </c>
      <c r="CY15" s="20">
        <f t="shared" si="2"/>
        <v>1890</v>
      </c>
      <c r="CZ15" s="20">
        <f t="shared" si="2"/>
        <v>1316</v>
      </c>
      <c r="DA15" s="20">
        <f t="shared" si="2"/>
        <v>485</v>
      </c>
      <c r="DB15" s="41">
        <f t="shared" si="2"/>
        <v>1.0001</v>
      </c>
      <c r="DC15" s="34">
        <f t="shared" si="2"/>
        <v>214</v>
      </c>
      <c r="DD15" s="20">
        <f t="shared" si="2"/>
        <v>289604.06</v>
      </c>
      <c r="DE15" s="20">
        <f t="shared" si="2"/>
        <v>15606.21</v>
      </c>
      <c r="DF15" s="20">
        <f t="shared" si="2"/>
        <v>23035.14</v>
      </c>
      <c r="DG15" s="41">
        <f t="shared" si="2"/>
        <v>1</v>
      </c>
      <c r="DH15" s="34">
        <f t="shared" si="2"/>
        <v>2</v>
      </c>
      <c r="DI15" s="20">
        <f t="shared" si="2"/>
        <v>41767</v>
      </c>
      <c r="DJ15" s="20">
        <f t="shared" si="2"/>
        <v>395</v>
      </c>
      <c r="DK15" s="20">
        <f t="shared" si="2"/>
        <v>13</v>
      </c>
      <c r="DL15" s="66">
        <f t="shared" si="2"/>
        <v>1</v>
      </c>
      <c r="DM15" s="34">
        <f t="shared" si="2"/>
        <v>55</v>
      </c>
      <c r="DN15" s="20">
        <f t="shared" si="2"/>
        <v>16279.22</v>
      </c>
      <c r="DO15" s="20">
        <f t="shared" si="2"/>
        <v>1421.9</v>
      </c>
      <c r="DP15" s="20">
        <f t="shared" si="2"/>
        <v>1354.5400000000002</v>
      </c>
      <c r="DQ15" s="41">
        <f t="shared" si="2"/>
        <v>1</v>
      </c>
      <c r="DR15" s="34">
        <f t="shared" ref="DR15" si="3">SUM(DR5:DR14)</f>
        <v>212</v>
      </c>
      <c r="DS15" s="20">
        <f t="shared" ref="DS15" si="4">SUM(DS5:DS14)</f>
        <v>234388.97999999998</v>
      </c>
      <c r="DT15" s="20">
        <f t="shared" ref="DT15" si="5">SUM(DT5:DT14)</f>
        <v>9851.6700000000019</v>
      </c>
      <c r="DU15" s="20">
        <f t="shared" ref="DU15" si="6">SUM(DU5:DU14)</f>
        <v>32803.9</v>
      </c>
      <c r="DV15" s="41">
        <f t="shared" ref="DV15" si="7">SUM(DV5:DV14)</f>
        <v>1</v>
      </c>
      <c r="DW15" s="34">
        <f t="shared" si="2"/>
        <v>28</v>
      </c>
      <c r="DX15" s="20">
        <f t="shared" si="2"/>
        <v>3626.71</v>
      </c>
      <c r="DY15" s="20">
        <f t="shared" si="2"/>
        <v>405.31</v>
      </c>
      <c r="DZ15" s="20">
        <f t="shared" si="2"/>
        <v>73.16</v>
      </c>
      <c r="EA15" s="41">
        <f t="shared" si="2"/>
        <v>0.98980000000000001</v>
      </c>
      <c r="EB15" s="34">
        <f t="shared" si="2"/>
        <v>4</v>
      </c>
      <c r="EC15" s="20">
        <f t="shared" si="2"/>
        <v>156503.66</v>
      </c>
      <c r="ED15" s="20">
        <f t="shared" si="2"/>
        <v>269.93</v>
      </c>
      <c r="EE15" s="20">
        <f t="shared" si="2"/>
        <v>0</v>
      </c>
      <c r="EF15" s="41">
        <f t="shared" si="2"/>
        <v>1</v>
      </c>
      <c r="EG15" s="34">
        <f t="shared" si="2"/>
        <v>142</v>
      </c>
      <c r="EH15" s="20">
        <f t="shared" si="2"/>
        <v>172421</v>
      </c>
      <c r="EI15" s="20">
        <f t="shared" si="2"/>
        <v>9299</v>
      </c>
      <c r="EJ15" s="20">
        <f t="shared" si="2"/>
        <v>15873</v>
      </c>
      <c r="EK15" s="41">
        <f t="shared" si="2"/>
        <v>1.0001</v>
      </c>
      <c r="EL15" s="34">
        <f t="shared" si="2"/>
        <v>312</v>
      </c>
      <c r="EM15" s="20">
        <f t="shared" si="2"/>
        <v>61171</v>
      </c>
      <c r="EN15" s="20">
        <f t="shared" si="2"/>
        <v>28300</v>
      </c>
      <c r="EO15" s="20">
        <f t="shared" si="2"/>
        <v>39450</v>
      </c>
      <c r="EP15" s="41">
        <f t="shared" si="2"/>
        <v>1</v>
      </c>
      <c r="EQ15" s="20">
        <f t="shared" si="2"/>
        <v>0</v>
      </c>
      <c r="ER15" s="20">
        <f t="shared" si="2"/>
        <v>109126</v>
      </c>
      <c r="ES15" s="20">
        <f t="shared" si="2"/>
        <v>21890</v>
      </c>
      <c r="ET15" s="20">
        <f t="shared" si="2"/>
        <v>34773</v>
      </c>
      <c r="EU15" s="41">
        <f t="shared" ref="EU15:FE15" si="8">SUM(EU5:EU14)</f>
        <v>0.99999999999999989</v>
      </c>
      <c r="EV15" s="34">
        <f t="shared" si="8"/>
        <v>265</v>
      </c>
      <c r="EW15" s="20">
        <f t="shared" si="8"/>
        <v>1058.53</v>
      </c>
      <c r="EX15" s="20">
        <f t="shared" si="8"/>
        <v>335.34000000000003</v>
      </c>
      <c r="EY15" s="20">
        <f t="shared" si="8"/>
        <v>682.88</v>
      </c>
      <c r="EZ15" s="41">
        <f t="shared" si="8"/>
        <v>1</v>
      </c>
      <c r="FA15" s="34">
        <f t="shared" si="8"/>
        <v>172</v>
      </c>
      <c r="FB15" s="20">
        <f t="shared" si="8"/>
        <v>63822</v>
      </c>
      <c r="FC15" s="20">
        <f t="shared" si="8"/>
        <v>31742</v>
      </c>
      <c r="FD15" s="20">
        <f t="shared" si="8"/>
        <v>17510</v>
      </c>
      <c r="FE15" s="41">
        <f t="shared" si="8"/>
        <v>0.9998999999999999</v>
      </c>
    </row>
  </sheetData>
  <mergeCells count="129">
    <mergeCell ref="B2:F2"/>
    <mergeCell ref="G2:K2"/>
    <mergeCell ref="L2:P2"/>
    <mergeCell ref="Q2:U2"/>
    <mergeCell ref="V2:Z2"/>
    <mergeCell ref="AA2:AE2"/>
    <mergeCell ref="BO2:BS2"/>
    <mergeCell ref="BT2:BX2"/>
    <mergeCell ref="BY2:CC2"/>
    <mergeCell ref="CD2:CH2"/>
    <mergeCell ref="AF2:AJ2"/>
    <mergeCell ref="AK2:AO2"/>
    <mergeCell ref="AP2:AT2"/>
    <mergeCell ref="AU2:AY2"/>
    <mergeCell ref="AZ2:BD2"/>
    <mergeCell ref="EV2:EZ2"/>
    <mergeCell ref="FA2:FE2"/>
    <mergeCell ref="DR2:DV2"/>
    <mergeCell ref="EB2:EF2"/>
    <mergeCell ref="EG2:EK2"/>
    <mergeCell ref="EL2:EP2"/>
    <mergeCell ref="EQ2:EU2"/>
    <mergeCell ref="B3:B4"/>
    <mergeCell ref="C3:E3"/>
    <mergeCell ref="F3:F4"/>
    <mergeCell ref="G3:G4"/>
    <mergeCell ref="H3:J3"/>
    <mergeCell ref="K3:K4"/>
    <mergeCell ref="L3:L4"/>
    <mergeCell ref="DM2:DQ2"/>
    <mergeCell ref="DW2:EA2"/>
    <mergeCell ref="CI2:CM2"/>
    <mergeCell ref="CN2:CR2"/>
    <mergeCell ref="CS2:CW2"/>
    <mergeCell ref="CX2:DB2"/>
    <mergeCell ref="DC2:DG2"/>
    <mergeCell ref="DH2:DL2"/>
    <mergeCell ref="BE2:BI2"/>
    <mergeCell ref="BJ2:BN2"/>
    <mergeCell ref="W3:Y3"/>
    <mergeCell ref="Z3:Z4"/>
    <mergeCell ref="AA3:AA4"/>
    <mergeCell ref="AB3:AD3"/>
    <mergeCell ref="AE3:AE4"/>
    <mergeCell ref="AF3:AF4"/>
    <mergeCell ref="M3:O3"/>
    <mergeCell ref="AG3:AI3"/>
    <mergeCell ref="AJ3:AJ4"/>
    <mergeCell ref="AK3:AK4"/>
    <mergeCell ref="AL3:AN3"/>
    <mergeCell ref="AO3:AO4"/>
    <mergeCell ref="AP3:AP4"/>
    <mergeCell ref="BF3:BH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BI3:BI4"/>
    <mergeCell ref="BJ3:BJ4"/>
    <mergeCell ref="BK3:BM3"/>
    <mergeCell ref="BN3:BN4"/>
    <mergeCell ref="BO3:BO4"/>
    <mergeCell ref="BA3:BC3"/>
    <mergeCell ref="BD3:BD4"/>
    <mergeCell ref="BE3:BE4"/>
    <mergeCell ref="AY3:AY4"/>
    <mergeCell ref="AZ3:AZ4"/>
    <mergeCell ref="BZ3:CB3"/>
    <mergeCell ref="CC3:CC4"/>
    <mergeCell ref="CD3:CD4"/>
    <mergeCell ref="CE3:CG3"/>
    <mergeCell ref="CH3:CH4"/>
    <mergeCell ref="CI3:CI4"/>
    <mergeCell ref="BP3:BR3"/>
    <mergeCell ref="BS3:BS4"/>
    <mergeCell ref="BT3:BT4"/>
    <mergeCell ref="BU3:BW3"/>
    <mergeCell ref="BX3:BX4"/>
    <mergeCell ref="BY3:BY4"/>
    <mergeCell ref="CT3:CV3"/>
    <mergeCell ref="CW3:CW4"/>
    <mergeCell ref="CX3:CX4"/>
    <mergeCell ref="CY3:DA3"/>
    <mergeCell ref="DB3:DB4"/>
    <mergeCell ref="DC3:DC4"/>
    <mergeCell ref="CJ3:CL3"/>
    <mergeCell ref="CM3:CM4"/>
    <mergeCell ref="CN3:CN4"/>
    <mergeCell ref="CO3:CQ3"/>
    <mergeCell ref="CR3:CR4"/>
    <mergeCell ref="CS3:CS4"/>
    <mergeCell ref="DD3:DF3"/>
    <mergeCell ref="DG3:DG4"/>
    <mergeCell ref="DH3:DH4"/>
    <mergeCell ref="DI3:DK3"/>
    <mergeCell ref="DL3:DL4"/>
    <mergeCell ref="DM3:DM4"/>
    <mergeCell ref="DR3:DR4"/>
    <mergeCell ref="DS3:DU3"/>
    <mergeCell ref="DV3:DV4"/>
    <mergeCell ref="A3:A4"/>
    <mergeCell ref="EW3:EY3"/>
    <mergeCell ref="EZ3:EZ4"/>
    <mergeCell ref="FA3:FA4"/>
    <mergeCell ref="FB3:FD3"/>
    <mergeCell ref="FE3:FE4"/>
    <mergeCell ref="EM3:EO3"/>
    <mergeCell ref="EP3:EP4"/>
    <mergeCell ref="EQ3:EQ4"/>
    <mergeCell ref="ER3:ET3"/>
    <mergeCell ref="EU3:EU4"/>
    <mergeCell ref="EV3:EV4"/>
    <mergeCell ref="EC3:EE3"/>
    <mergeCell ref="EF3:EF4"/>
    <mergeCell ref="EG3:EG4"/>
    <mergeCell ref="EH3:EJ3"/>
    <mergeCell ref="EK3:EK4"/>
    <mergeCell ref="EL3:EL4"/>
    <mergeCell ref="DN3:DP3"/>
    <mergeCell ref="DQ3:DQ4"/>
    <mergeCell ref="DW3:DW4"/>
    <mergeCell ref="DX3:DZ3"/>
    <mergeCell ref="EA3:EA4"/>
    <mergeCell ref="EB3:E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6" customWidth="1"/>
    <col min="2" max="97" width="10.85546875" style="76" customWidth="1"/>
    <col min="98" max="16384" width="9.140625" style="76"/>
  </cols>
  <sheetData>
    <row r="1" spans="1:97" ht="18.75" x14ac:dyDescent="0.3">
      <c r="A1" s="8" t="s">
        <v>302</v>
      </c>
    </row>
    <row r="2" spans="1:97" x14ac:dyDescent="0.25">
      <c r="A2" s="76" t="s">
        <v>161</v>
      </c>
    </row>
    <row r="3" spans="1:97" x14ac:dyDescent="0.25">
      <c r="A3" s="1" t="s">
        <v>0</v>
      </c>
      <c r="B3" s="108" t="s">
        <v>1</v>
      </c>
      <c r="C3" s="108"/>
      <c r="D3" s="108"/>
      <c r="E3" s="108" t="s">
        <v>282</v>
      </c>
      <c r="F3" s="108"/>
      <c r="G3" s="108"/>
      <c r="H3" s="108" t="s">
        <v>2</v>
      </c>
      <c r="I3" s="108"/>
      <c r="J3" s="108"/>
      <c r="K3" s="108" t="s">
        <v>3</v>
      </c>
      <c r="L3" s="108"/>
      <c r="M3" s="108"/>
      <c r="N3" s="108" t="s">
        <v>4</v>
      </c>
      <c r="O3" s="108"/>
      <c r="P3" s="108"/>
      <c r="Q3" s="108" t="s">
        <v>283</v>
      </c>
      <c r="R3" s="108"/>
      <c r="S3" s="108"/>
      <c r="T3" s="108" t="s">
        <v>6</v>
      </c>
      <c r="U3" s="108"/>
      <c r="V3" s="108"/>
      <c r="W3" s="108" t="s">
        <v>5</v>
      </c>
      <c r="X3" s="108"/>
      <c r="Y3" s="108"/>
      <c r="Z3" s="108" t="s">
        <v>7</v>
      </c>
      <c r="AA3" s="108"/>
      <c r="AB3" s="108"/>
      <c r="AC3" s="108" t="s">
        <v>284</v>
      </c>
      <c r="AD3" s="108"/>
      <c r="AE3" s="108"/>
      <c r="AF3" s="108" t="s">
        <v>8</v>
      </c>
      <c r="AG3" s="108"/>
      <c r="AH3" s="108"/>
      <c r="AI3" s="108" t="s">
        <v>9</v>
      </c>
      <c r="AJ3" s="108"/>
      <c r="AK3" s="108"/>
      <c r="AL3" s="108" t="s">
        <v>10</v>
      </c>
      <c r="AM3" s="108"/>
      <c r="AN3" s="108"/>
      <c r="AO3" s="108" t="s">
        <v>304</v>
      </c>
      <c r="AP3" s="108"/>
      <c r="AQ3" s="108"/>
      <c r="AR3" s="108" t="s">
        <v>11</v>
      </c>
      <c r="AS3" s="108"/>
      <c r="AT3" s="108"/>
      <c r="AU3" s="108" t="s">
        <v>12</v>
      </c>
      <c r="AV3" s="108"/>
      <c r="AW3" s="108"/>
      <c r="AX3" s="108" t="s">
        <v>285</v>
      </c>
      <c r="AY3" s="108"/>
      <c r="AZ3" s="108"/>
      <c r="BA3" s="108" t="s">
        <v>290</v>
      </c>
      <c r="BB3" s="108"/>
      <c r="BC3" s="108"/>
      <c r="BD3" s="108" t="s">
        <v>13</v>
      </c>
      <c r="BE3" s="108"/>
      <c r="BF3" s="108"/>
      <c r="BG3" s="108" t="s">
        <v>286</v>
      </c>
      <c r="BH3" s="108"/>
      <c r="BI3" s="108"/>
      <c r="BJ3" s="108" t="s">
        <v>287</v>
      </c>
      <c r="BK3" s="108"/>
      <c r="BL3" s="108"/>
      <c r="BM3" s="108" t="s">
        <v>291</v>
      </c>
      <c r="BN3" s="108"/>
      <c r="BO3" s="108"/>
      <c r="BP3" s="108" t="s">
        <v>305</v>
      </c>
      <c r="BQ3" s="108"/>
      <c r="BR3" s="108"/>
      <c r="BS3" s="108" t="s">
        <v>14</v>
      </c>
      <c r="BT3" s="108"/>
      <c r="BU3" s="108"/>
      <c r="BV3" s="108" t="s">
        <v>15</v>
      </c>
      <c r="BW3" s="108"/>
      <c r="BX3" s="108"/>
      <c r="BY3" s="108" t="s">
        <v>16</v>
      </c>
      <c r="BZ3" s="108"/>
      <c r="CA3" s="108"/>
      <c r="CB3" s="108" t="s">
        <v>17</v>
      </c>
      <c r="CC3" s="108"/>
      <c r="CD3" s="108"/>
      <c r="CE3" s="108" t="s">
        <v>18</v>
      </c>
      <c r="CF3" s="108"/>
      <c r="CG3" s="108"/>
      <c r="CH3" s="108" t="s">
        <v>288</v>
      </c>
      <c r="CI3" s="108"/>
      <c r="CJ3" s="108"/>
      <c r="CK3" s="108" t="s">
        <v>289</v>
      </c>
      <c r="CL3" s="108"/>
      <c r="CM3" s="108"/>
      <c r="CN3" s="108" t="s">
        <v>19</v>
      </c>
      <c r="CO3" s="108"/>
      <c r="CP3" s="108"/>
      <c r="CQ3" s="108" t="s">
        <v>20</v>
      </c>
      <c r="CR3" s="108"/>
      <c r="CS3" s="108"/>
    </row>
    <row r="4" spans="1:97" x14ac:dyDescent="0.25">
      <c r="A4" s="84"/>
      <c r="B4" s="75" t="s">
        <v>148</v>
      </c>
      <c r="C4" s="75" t="s">
        <v>149</v>
      </c>
      <c r="D4" s="75" t="s">
        <v>150</v>
      </c>
      <c r="E4" s="75" t="s">
        <v>148</v>
      </c>
      <c r="F4" s="75" t="s">
        <v>149</v>
      </c>
      <c r="G4" s="75" t="s">
        <v>150</v>
      </c>
      <c r="H4" s="75" t="s">
        <v>148</v>
      </c>
      <c r="I4" s="75" t="s">
        <v>149</v>
      </c>
      <c r="J4" s="75" t="s">
        <v>150</v>
      </c>
      <c r="K4" s="75" t="s">
        <v>148</v>
      </c>
      <c r="L4" s="75" t="s">
        <v>149</v>
      </c>
      <c r="M4" s="75" t="s">
        <v>150</v>
      </c>
      <c r="N4" s="75" t="s">
        <v>148</v>
      </c>
      <c r="O4" s="75" t="s">
        <v>149</v>
      </c>
      <c r="P4" s="75" t="s">
        <v>150</v>
      </c>
      <c r="Q4" s="75" t="s">
        <v>148</v>
      </c>
      <c r="R4" s="75" t="s">
        <v>149</v>
      </c>
      <c r="S4" s="75" t="s">
        <v>150</v>
      </c>
      <c r="T4" s="75" t="s">
        <v>148</v>
      </c>
      <c r="U4" s="75" t="s">
        <v>149</v>
      </c>
      <c r="V4" s="75" t="s">
        <v>150</v>
      </c>
      <c r="W4" s="75" t="s">
        <v>148</v>
      </c>
      <c r="X4" s="75" t="s">
        <v>149</v>
      </c>
      <c r="Y4" s="75" t="s">
        <v>150</v>
      </c>
      <c r="Z4" s="75" t="s">
        <v>148</v>
      </c>
      <c r="AA4" s="75" t="s">
        <v>149</v>
      </c>
      <c r="AB4" s="75" t="s">
        <v>150</v>
      </c>
      <c r="AC4" s="75" t="s">
        <v>148</v>
      </c>
      <c r="AD4" s="75" t="s">
        <v>149</v>
      </c>
      <c r="AE4" s="75" t="s">
        <v>150</v>
      </c>
      <c r="AF4" s="75" t="s">
        <v>148</v>
      </c>
      <c r="AG4" s="75" t="s">
        <v>149</v>
      </c>
      <c r="AH4" s="75" t="s">
        <v>150</v>
      </c>
      <c r="AI4" s="75" t="s">
        <v>148</v>
      </c>
      <c r="AJ4" s="75" t="s">
        <v>149</v>
      </c>
      <c r="AK4" s="75" t="s">
        <v>150</v>
      </c>
      <c r="AL4" s="75" t="s">
        <v>148</v>
      </c>
      <c r="AM4" s="75" t="s">
        <v>149</v>
      </c>
      <c r="AN4" s="75" t="s">
        <v>150</v>
      </c>
      <c r="AO4" s="75" t="s">
        <v>148</v>
      </c>
      <c r="AP4" s="75" t="s">
        <v>149</v>
      </c>
      <c r="AQ4" s="75" t="s">
        <v>150</v>
      </c>
      <c r="AR4" s="75" t="s">
        <v>148</v>
      </c>
      <c r="AS4" s="75" t="s">
        <v>149</v>
      </c>
      <c r="AT4" s="75" t="s">
        <v>150</v>
      </c>
      <c r="AU4" s="75" t="s">
        <v>148</v>
      </c>
      <c r="AV4" s="75" t="s">
        <v>149</v>
      </c>
      <c r="AW4" s="75" t="s">
        <v>150</v>
      </c>
      <c r="AX4" s="75" t="s">
        <v>148</v>
      </c>
      <c r="AY4" s="75" t="s">
        <v>149</v>
      </c>
      <c r="AZ4" s="75" t="s">
        <v>150</v>
      </c>
      <c r="BA4" s="75" t="s">
        <v>148</v>
      </c>
      <c r="BB4" s="75" t="s">
        <v>149</v>
      </c>
      <c r="BC4" s="75" t="s">
        <v>150</v>
      </c>
      <c r="BD4" s="75" t="s">
        <v>148</v>
      </c>
      <c r="BE4" s="75" t="s">
        <v>149</v>
      </c>
      <c r="BF4" s="75" t="s">
        <v>150</v>
      </c>
      <c r="BG4" s="75" t="s">
        <v>148</v>
      </c>
      <c r="BH4" s="75" t="s">
        <v>149</v>
      </c>
      <c r="BI4" s="75" t="s">
        <v>150</v>
      </c>
      <c r="BJ4" s="75" t="s">
        <v>148</v>
      </c>
      <c r="BK4" s="75" t="s">
        <v>149</v>
      </c>
      <c r="BL4" s="75" t="s">
        <v>150</v>
      </c>
      <c r="BM4" s="75" t="s">
        <v>148</v>
      </c>
      <c r="BN4" s="75" t="s">
        <v>149</v>
      </c>
      <c r="BO4" s="75" t="s">
        <v>150</v>
      </c>
      <c r="BP4" s="75" t="s">
        <v>148</v>
      </c>
      <c r="BQ4" s="75" t="s">
        <v>149</v>
      </c>
      <c r="BR4" s="75" t="s">
        <v>150</v>
      </c>
      <c r="BS4" s="75" t="s">
        <v>148</v>
      </c>
      <c r="BT4" s="75" t="s">
        <v>149</v>
      </c>
      <c r="BU4" s="75" t="s">
        <v>150</v>
      </c>
      <c r="BV4" s="75" t="s">
        <v>148</v>
      </c>
      <c r="BW4" s="75" t="s">
        <v>149</v>
      </c>
      <c r="BX4" s="75" t="s">
        <v>150</v>
      </c>
      <c r="BY4" s="75" t="s">
        <v>148</v>
      </c>
      <c r="BZ4" s="75" t="s">
        <v>149</v>
      </c>
      <c r="CA4" s="75" t="s">
        <v>150</v>
      </c>
      <c r="CB4" s="75" t="s">
        <v>148</v>
      </c>
      <c r="CC4" s="75" t="s">
        <v>149</v>
      </c>
      <c r="CD4" s="75" t="s">
        <v>150</v>
      </c>
      <c r="CE4" s="75" t="s">
        <v>148</v>
      </c>
      <c r="CF4" s="75" t="s">
        <v>149</v>
      </c>
      <c r="CG4" s="75" t="s">
        <v>150</v>
      </c>
      <c r="CH4" s="75" t="s">
        <v>148</v>
      </c>
      <c r="CI4" s="75" t="s">
        <v>149</v>
      </c>
      <c r="CJ4" s="75" t="s">
        <v>150</v>
      </c>
      <c r="CK4" s="75" t="s">
        <v>148</v>
      </c>
      <c r="CL4" s="75" t="s">
        <v>149</v>
      </c>
      <c r="CM4" s="75" t="s">
        <v>150</v>
      </c>
      <c r="CN4" s="75" t="s">
        <v>148</v>
      </c>
      <c r="CO4" s="75" t="s">
        <v>149</v>
      </c>
      <c r="CP4" s="75" t="s">
        <v>150</v>
      </c>
      <c r="CQ4" s="75" t="s">
        <v>148</v>
      </c>
      <c r="CR4" s="75" t="s">
        <v>149</v>
      </c>
      <c r="CS4" s="75" t="s">
        <v>150</v>
      </c>
    </row>
    <row r="5" spans="1:97" x14ac:dyDescent="0.25">
      <c r="A5" s="84" t="s">
        <v>151</v>
      </c>
      <c r="B5" s="84">
        <v>255</v>
      </c>
      <c r="C5" s="84">
        <f>D5-B5</f>
        <v>15466</v>
      </c>
      <c r="D5" s="84">
        <v>15721</v>
      </c>
      <c r="E5" s="84"/>
      <c r="F5" s="84">
        <f>G5-E5</f>
        <v>4650</v>
      </c>
      <c r="G5" s="84">
        <v>4650</v>
      </c>
      <c r="H5" s="84"/>
      <c r="I5" s="84">
        <f>J5-H5</f>
        <v>6136278</v>
      </c>
      <c r="J5" s="84">
        <v>6136278</v>
      </c>
      <c r="K5" s="84">
        <v>52069</v>
      </c>
      <c r="L5" s="84">
        <f>M5-K5</f>
        <v>213859</v>
      </c>
      <c r="M5" s="84">
        <v>265928</v>
      </c>
      <c r="N5" s="84">
        <v>11391</v>
      </c>
      <c r="O5" s="84">
        <f>P5-N5</f>
        <v>19571</v>
      </c>
      <c r="P5" s="84">
        <v>30962</v>
      </c>
      <c r="Q5" s="84">
        <v>29939</v>
      </c>
      <c r="R5" s="84">
        <f>S5-Q5</f>
        <v>32265</v>
      </c>
      <c r="S5" s="84">
        <v>62204</v>
      </c>
      <c r="T5" s="84"/>
      <c r="U5" s="84">
        <f>V5-T5</f>
        <v>812</v>
      </c>
      <c r="V5" s="84">
        <v>812</v>
      </c>
      <c r="W5" s="84">
        <v>147</v>
      </c>
      <c r="X5" s="84">
        <f>Y5-W5</f>
        <v>1922</v>
      </c>
      <c r="Y5" s="84">
        <v>2069</v>
      </c>
      <c r="Z5" s="84">
        <v>8551</v>
      </c>
      <c r="AA5" s="84">
        <f>AB5-Z5</f>
        <v>19911</v>
      </c>
      <c r="AB5" s="84">
        <v>28462</v>
      </c>
      <c r="AC5" s="84">
        <v>2799</v>
      </c>
      <c r="AD5" s="84">
        <f>AE5-AC5</f>
        <v>9879</v>
      </c>
      <c r="AE5" s="84">
        <v>12678</v>
      </c>
      <c r="AF5" s="84">
        <v>33071</v>
      </c>
      <c r="AG5" s="84">
        <f>AH5-AF5</f>
        <v>111339</v>
      </c>
      <c r="AH5" s="84">
        <v>144410</v>
      </c>
      <c r="AI5" s="84">
        <v>50592</v>
      </c>
      <c r="AJ5" s="84">
        <f>AK5-AI5</f>
        <v>162949</v>
      </c>
      <c r="AK5" s="84">
        <v>213541</v>
      </c>
      <c r="AL5" s="84">
        <v>35192</v>
      </c>
      <c r="AM5" s="84">
        <f>AN5-AL5</f>
        <v>52552</v>
      </c>
      <c r="AN5" s="84">
        <v>87744</v>
      </c>
      <c r="AO5" s="84">
        <v>781</v>
      </c>
      <c r="AP5" s="84">
        <f>AQ5-AO5</f>
        <v>4730</v>
      </c>
      <c r="AQ5" s="84">
        <v>5511</v>
      </c>
      <c r="AR5" s="84">
        <v>6086</v>
      </c>
      <c r="AS5" s="84">
        <f>AT5-AR5</f>
        <v>8899</v>
      </c>
      <c r="AT5" s="84">
        <v>14985</v>
      </c>
      <c r="AU5" s="84">
        <v>7009</v>
      </c>
      <c r="AV5" s="84">
        <f>AW5-AU5</f>
        <v>6315</v>
      </c>
      <c r="AW5" s="84">
        <v>13324</v>
      </c>
      <c r="AX5" s="84"/>
      <c r="AY5" s="84">
        <f>AZ5-AX5</f>
        <v>4866</v>
      </c>
      <c r="AZ5" s="84">
        <v>4866</v>
      </c>
      <c r="BA5" s="84"/>
      <c r="BB5" s="84">
        <f>BC5-BA5</f>
        <v>4786</v>
      </c>
      <c r="BC5" s="84">
        <v>4786</v>
      </c>
      <c r="BD5" s="84">
        <v>110411</v>
      </c>
      <c r="BE5" s="84">
        <f>BF5-BD5</f>
        <v>567103</v>
      </c>
      <c r="BF5" s="84">
        <v>677514</v>
      </c>
      <c r="BG5" s="84">
        <v>173</v>
      </c>
      <c r="BH5" s="84">
        <f>BI5-BG5</f>
        <v>568</v>
      </c>
      <c r="BI5" s="84">
        <v>741</v>
      </c>
      <c r="BJ5" s="84">
        <v>547</v>
      </c>
      <c r="BK5" s="84">
        <f>BL5-BJ5</f>
        <v>942</v>
      </c>
      <c r="BL5" s="84">
        <v>1489</v>
      </c>
      <c r="BM5" s="84">
        <v>58035</v>
      </c>
      <c r="BN5" s="84">
        <f>BO5-BM5</f>
        <v>253425</v>
      </c>
      <c r="BO5" s="84">
        <v>311460</v>
      </c>
      <c r="BP5" s="84"/>
      <c r="BQ5" s="84">
        <f>BR5-BP5</f>
        <v>14770</v>
      </c>
      <c r="BR5" s="84">
        <v>14770</v>
      </c>
      <c r="BS5" s="84">
        <v>20746</v>
      </c>
      <c r="BT5" s="84">
        <f>BU5-BS5</f>
        <v>25104</v>
      </c>
      <c r="BU5" s="84">
        <v>45850</v>
      </c>
      <c r="BV5" s="84">
        <v>7899</v>
      </c>
      <c r="BW5" s="84">
        <f>BX5-BV5</f>
        <v>36649</v>
      </c>
      <c r="BX5" s="84">
        <v>44548</v>
      </c>
      <c r="BY5" s="84">
        <v>42660</v>
      </c>
      <c r="BZ5" s="84">
        <f>CA5-BY5</f>
        <v>11762</v>
      </c>
      <c r="CA5" s="84">
        <v>54422</v>
      </c>
      <c r="CB5" s="84"/>
      <c r="CC5" s="84">
        <f>CD5-CB5</f>
        <v>95542</v>
      </c>
      <c r="CD5" s="84">
        <v>95542</v>
      </c>
      <c r="CE5" s="84">
        <v>23245</v>
      </c>
      <c r="CF5" s="84">
        <f>CG5-CE5</f>
        <v>63200</v>
      </c>
      <c r="CG5" s="84">
        <v>86445</v>
      </c>
      <c r="CH5" s="84">
        <v>158637</v>
      </c>
      <c r="CI5" s="84">
        <f>CJ5-CH5</f>
        <v>241446</v>
      </c>
      <c r="CJ5" s="84">
        <v>400083</v>
      </c>
      <c r="CK5" s="84">
        <v>92549</v>
      </c>
      <c r="CL5" s="84">
        <f>CM5-CK5</f>
        <v>417309</v>
      </c>
      <c r="CM5" s="84">
        <v>509858</v>
      </c>
      <c r="CN5" s="84">
        <v>169837</v>
      </c>
      <c r="CO5" s="84">
        <f>CP5-CN5</f>
        <v>401057</v>
      </c>
      <c r="CP5" s="25">
        <v>570894</v>
      </c>
      <c r="CQ5" s="84">
        <v>8039</v>
      </c>
      <c r="CR5" s="84">
        <f>CS5-CQ5</f>
        <v>9347</v>
      </c>
      <c r="CS5" s="84">
        <v>17386</v>
      </c>
    </row>
    <row r="6" spans="1:97" x14ac:dyDescent="0.25">
      <c r="A6" s="84" t="s">
        <v>152</v>
      </c>
      <c r="B6" s="84">
        <v>105</v>
      </c>
      <c r="C6" s="84">
        <f t="shared" ref="C6:C14" si="0">D6-B6</f>
        <v>48642</v>
      </c>
      <c r="D6" s="84">
        <v>48747</v>
      </c>
      <c r="E6" s="84"/>
      <c r="F6" s="84">
        <f t="shared" ref="F6:F14" si="1">G6-E6</f>
        <v>34775</v>
      </c>
      <c r="G6" s="84">
        <v>34775</v>
      </c>
      <c r="H6" s="84"/>
      <c r="I6" s="84">
        <f t="shared" ref="I6:I14" si="2">J6-H6</f>
        <v>364049</v>
      </c>
      <c r="J6" s="84">
        <v>364049</v>
      </c>
      <c r="K6" s="84">
        <v>3514</v>
      </c>
      <c r="L6" s="84">
        <f t="shared" ref="L6:L14" si="3">M6-K6</f>
        <v>536084</v>
      </c>
      <c r="M6" s="84">
        <v>539598</v>
      </c>
      <c r="N6" s="84">
        <v>869</v>
      </c>
      <c r="O6" s="84">
        <f t="shared" ref="O6:O14" si="4">P6-N6</f>
        <v>86556</v>
      </c>
      <c r="P6" s="84">
        <v>87425</v>
      </c>
      <c r="Q6" s="84">
        <v>5779</v>
      </c>
      <c r="R6" s="84">
        <f t="shared" ref="R6:R14" si="5">S6-Q6</f>
        <v>205086</v>
      </c>
      <c r="S6" s="84">
        <v>210865</v>
      </c>
      <c r="T6" s="84"/>
      <c r="U6" s="84">
        <f t="shared" ref="U6:U14" si="6">V6-T6</f>
        <v>1146</v>
      </c>
      <c r="V6" s="84">
        <v>1146</v>
      </c>
      <c r="W6" s="84">
        <v>22</v>
      </c>
      <c r="X6" s="84">
        <f t="shared" ref="X6:X14" si="7">Y6-W6</f>
        <v>9092</v>
      </c>
      <c r="Y6" s="84">
        <v>9114</v>
      </c>
      <c r="Z6" s="84">
        <v>765</v>
      </c>
      <c r="AA6" s="84">
        <f t="shared" ref="AA6:AA14" si="8">AB6-Z6</f>
        <v>78074</v>
      </c>
      <c r="AB6" s="84">
        <v>78839</v>
      </c>
      <c r="AC6" s="84">
        <v>1115</v>
      </c>
      <c r="AD6" s="84">
        <f t="shared" ref="AD6:AD14" si="9">AE6-AC6</f>
        <v>54017</v>
      </c>
      <c r="AE6" s="84">
        <v>55132</v>
      </c>
      <c r="AF6" s="84">
        <v>2488</v>
      </c>
      <c r="AG6" s="84">
        <f t="shared" ref="AG6:AG14" si="10">AH6-AF6</f>
        <v>710266</v>
      </c>
      <c r="AH6" s="84">
        <v>712754</v>
      </c>
      <c r="AI6" s="84">
        <v>4997</v>
      </c>
      <c r="AJ6" s="84">
        <f t="shared" ref="AJ6:AJ14" si="11">AK6-AI6</f>
        <v>485469</v>
      </c>
      <c r="AK6" s="84">
        <v>490466</v>
      </c>
      <c r="AL6" s="84">
        <v>6120</v>
      </c>
      <c r="AM6" s="84">
        <f t="shared" ref="AM6:AM14" si="12">AN6-AL6</f>
        <v>831251</v>
      </c>
      <c r="AN6" s="84">
        <v>837371</v>
      </c>
      <c r="AO6" s="84">
        <v>106</v>
      </c>
      <c r="AP6" s="84">
        <f t="shared" ref="AP6:AP14" si="13">AQ6-AO6</f>
        <v>17348</v>
      </c>
      <c r="AQ6" s="84">
        <v>17454</v>
      </c>
      <c r="AR6" s="84">
        <v>1075</v>
      </c>
      <c r="AS6" s="84">
        <f t="shared" ref="AS6:AS14" si="14">AT6-AR6</f>
        <v>60175</v>
      </c>
      <c r="AT6" s="84">
        <v>61250</v>
      </c>
      <c r="AU6" s="84">
        <v>810</v>
      </c>
      <c r="AV6" s="84">
        <f t="shared" ref="AV6:AV14" si="15">AW6-AU6</f>
        <v>21688</v>
      </c>
      <c r="AW6" s="84">
        <v>22498</v>
      </c>
      <c r="AX6" s="84"/>
      <c r="AY6" s="84">
        <f t="shared" ref="AY6:AY14" si="16">AZ6-AX6</f>
        <v>64593</v>
      </c>
      <c r="AZ6" s="84">
        <v>64593</v>
      </c>
      <c r="BA6" s="84"/>
      <c r="BB6" s="84">
        <f t="shared" ref="BB6:BB14" si="17">BC6-BA6</f>
        <v>34275</v>
      </c>
      <c r="BC6" s="84">
        <v>34275</v>
      </c>
      <c r="BD6" s="84">
        <v>8779</v>
      </c>
      <c r="BE6" s="84">
        <f t="shared" ref="BE6:BE14" si="18">BF6-BD6</f>
        <v>680932</v>
      </c>
      <c r="BF6" s="84">
        <v>689711</v>
      </c>
      <c r="BG6" s="84">
        <v>15</v>
      </c>
      <c r="BH6" s="84">
        <f t="shared" ref="BH6:BH14" si="19">BI6-BG6</f>
        <v>3882</v>
      </c>
      <c r="BI6" s="84">
        <v>3897</v>
      </c>
      <c r="BJ6" s="84">
        <v>60</v>
      </c>
      <c r="BK6" s="84">
        <f t="shared" ref="BK6:BK14" si="20">BL6-BJ6</f>
        <v>4894</v>
      </c>
      <c r="BL6" s="84">
        <v>4954</v>
      </c>
      <c r="BM6" s="84">
        <v>2625</v>
      </c>
      <c r="BN6" s="84">
        <f t="shared" ref="BN6:BN14" si="21">BO6-BM6</f>
        <v>476681</v>
      </c>
      <c r="BO6" s="84">
        <v>479306</v>
      </c>
      <c r="BP6" s="84"/>
      <c r="BQ6" s="84">
        <f t="shared" ref="BQ6:BQ14" si="22">BR6-BP6</f>
        <v>94306</v>
      </c>
      <c r="BR6" s="84">
        <v>94306</v>
      </c>
      <c r="BS6" s="84">
        <v>1569</v>
      </c>
      <c r="BT6" s="84">
        <f t="shared" ref="BT6:BT14" si="23">BU6-BS6</f>
        <v>91984</v>
      </c>
      <c r="BU6" s="84">
        <v>93553</v>
      </c>
      <c r="BV6" s="84">
        <v>1478</v>
      </c>
      <c r="BW6" s="84">
        <f t="shared" ref="BW6:BW14" si="24">BX6-BV6</f>
        <v>647878</v>
      </c>
      <c r="BX6" s="84">
        <v>649356</v>
      </c>
      <c r="BY6" s="84">
        <v>2594</v>
      </c>
      <c r="BZ6" s="84">
        <f t="shared" ref="BZ6:BZ14" si="25">CA6-BY6</f>
        <v>40344</v>
      </c>
      <c r="CA6" s="84">
        <v>42938</v>
      </c>
      <c r="CB6" s="84"/>
      <c r="CC6" s="84">
        <f t="shared" ref="CC6:CC14" si="26">CD6-CB6</f>
        <v>323543</v>
      </c>
      <c r="CD6" s="84">
        <v>323543</v>
      </c>
      <c r="CE6" s="84">
        <v>2484</v>
      </c>
      <c r="CF6" s="84">
        <f t="shared" ref="CF6:CF14" si="27">CG6-CE6</f>
        <v>326268</v>
      </c>
      <c r="CG6" s="84">
        <v>328752</v>
      </c>
      <c r="CH6" s="84">
        <v>12884</v>
      </c>
      <c r="CI6" s="84">
        <f t="shared" ref="CI6:CI14" si="28">CJ6-CH6</f>
        <v>1219256</v>
      </c>
      <c r="CJ6" s="84">
        <v>1232140</v>
      </c>
      <c r="CK6" s="84">
        <v>9252</v>
      </c>
      <c r="CL6" s="84">
        <f t="shared" ref="CL6:CL14" si="29">CM6-CK6</f>
        <v>791712</v>
      </c>
      <c r="CM6" s="84">
        <v>800964</v>
      </c>
      <c r="CN6" s="84">
        <v>11188</v>
      </c>
      <c r="CO6" s="84">
        <f t="shared" ref="CO6:CO14" si="30">CP6-CN6</f>
        <v>1679981</v>
      </c>
      <c r="CP6" s="84">
        <v>1691169</v>
      </c>
      <c r="CQ6" s="84">
        <v>1769</v>
      </c>
      <c r="CR6" s="84">
        <f t="shared" ref="CR6:CR14" si="31">CS6-CQ6</f>
        <v>147950</v>
      </c>
      <c r="CS6" s="84">
        <v>149719</v>
      </c>
    </row>
    <row r="7" spans="1:97" x14ac:dyDescent="0.25">
      <c r="A7" s="84" t="s">
        <v>153</v>
      </c>
      <c r="B7" s="84">
        <v>35</v>
      </c>
      <c r="C7" s="84">
        <f t="shared" si="0"/>
        <v>37942</v>
      </c>
      <c r="D7" s="84">
        <v>37977</v>
      </c>
      <c r="E7" s="84"/>
      <c r="F7" s="84">
        <f t="shared" si="1"/>
        <v>28352</v>
      </c>
      <c r="G7" s="84">
        <v>28352</v>
      </c>
      <c r="H7" s="84"/>
      <c r="I7" s="84">
        <f t="shared" si="2"/>
        <v>1395402</v>
      </c>
      <c r="J7" s="84">
        <v>1395402</v>
      </c>
      <c r="K7" s="84">
        <v>991</v>
      </c>
      <c r="L7" s="84">
        <f t="shared" si="3"/>
        <v>513126</v>
      </c>
      <c r="M7" s="84">
        <v>514117</v>
      </c>
      <c r="N7" s="84">
        <v>1398</v>
      </c>
      <c r="O7" s="84">
        <f t="shared" si="4"/>
        <v>75156</v>
      </c>
      <c r="P7" s="84">
        <v>76554</v>
      </c>
      <c r="Q7" s="84">
        <v>5679</v>
      </c>
      <c r="R7" s="84">
        <f t="shared" si="5"/>
        <v>170846</v>
      </c>
      <c r="S7" s="84">
        <v>176525</v>
      </c>
      <c r="T7" s="84"/>
      <c r="U7" s="84">
        <f t="shared" si="6"/>
        <v>435</v>
      </c>
      <c r="V7" s="84">
        <v>435</v>
      </c>
      <c r="W7" s="84">
        <v>7</v>
      </c>
      <c r="X7" s="84">
        <f t="shared" si="7"/>
        <v>8220</v>
      </c>
      <c r="Y7" s="84">
        <v>8227</v>
      </c>
      <c r="Z7" s="84">
        <v>832</v>
      </c>
      <c r="AA7" s="84">
        <f t="shared" si="8"/>
        <v>70310</v>
      </c>
      <c r="AB7" s="84">
        <v>71142</v>
      </c>
      <c r="AC7" s="84">
        <v>384</v>
      </c>
      <c r="AD7" s="84">
        <f t="shared" si="9"/>
        <v>44908</v>
      </c>
      <c r="AE7" s="84">
        <v>45292</v>
      </c>
      <c r="AF7" s="84">
        <v>1408</v>
      </c>
      <c r="AG7" s="84">
        <f t="shared" si="10"/>
        <v>682708</v>
      </c>
      <c r="AH7" s="84">
        <v>684116</v>
      </c>
      <c r="AI7" s="84">
        <v>5178</v>
      </c>
      <c r="AJ7" s="84">
        <f t="shared" si="11"/>
        <v>406716</v>
      </c>
      <c r="AK7" s="84">
        <v>411894</v>
      </c>
      <c r="AL7" s="84">
        <v>5891</v>
      </c>
      <c r="AM7" s="84">
        <f t="shared" si="12"/>
        <v>824669</v>
      </c>
      <c r="AN7" s="84">
        <v>830560</v>
      </c>
      <c r="AO7" s="84">
        <v>41</v>
      </c>
      <c r="AP7" s="84">
        <f t="shared" si="13"/>
        <v>14907</v>
      </c>
      <c r="AQ7" s="84">
        <v>14948</v>
      </c>
      <c r="AR7" s="84">
        <v>450</v>
      </c>
      <c r="AS7" s="84">
        <f t="shared" si="14"/>
        <v>53880</v>
      </c>
      <c r="AT7" s="84">
        <v>54330</v>
      </c>
      <c r="AU7" s="84">
        <v>347</v>
      </c>
      <c r="AV7" s="84">
        <f t="shared" si="15"/>
        <v>18276</v>
      </c>
      <c r="AW7" s="84">
        <v>18623</v>
      </c>
      <c r="AX7" s="84"/>
      <c r="AY7" s="84">
        <f t="shared" si="16"/>
        <v>55984</v>
      </c>
      <c r="AZ7" s="84">
        <v>55984</v>
      </c>
      <c r="BA7" s="84"/>
      <c r="BB7" s="84">
        <f t="shared" si="17"/>
        <v>26663</v>
      </c>
      <c r="BC7" s="84">
        <v>26663</v>
      </c>
      <c r="BD7" s="84">
        <v>19136</v>
      </c>
      <c r="BE7" s="84">
        <f t="shared" si="18"/>
        <v>789566</v>
      </c>
      <c r="BF7" s="84">
        <v>808702</v>
      </c>
      <c r="BG7" s="84">
        <v>3</v>
      </c>
      <c r="BH7" s="84">
        <f t="shared" si="19"/>
        <v>3417</v>
      </c>
      <c r="BI7" s="84">
        <v>3420</v>
      </c>
      <c r="BJ7" s="84">
        <v>45</v>
      </c>
      <c r="BK7" s="84">
        <f t="shared" si="20"/>
        <v>3543</v>
      </c>
      <c r="BL7" s="84">
        <v>3588</v>
      </c>
      <c r="BM7" s="84">
        <v>2296</v>
      </c>
      <c r="BN7" s="84">
        <f t="shared" si="21"/>
        <v>461595</v>
      </c>
      <c r="BO7" s="84">
        <v>463891</v>
      </c>
      <c r="BP7" s="84"/>
      <c r="BQ7" s="84">
        <f t="shared" si="22"/>
        <v>82165</v>
      </c>
      <c r="BR7" s="84">
        <v>82165</v>
      </c>
      <c r="BS7" s="84">
        <v>617</v>
      </c>
      <c r="BT7" s="84">
        <f t="shared" si="23"/>
        <v>84252</v>
      </c>
      <c r="BU7" s="84">
        <v>84869</v>
      </c>
      <c r="BV7" s="84">
        <v>685</v>
      </c>
      <c r="BW7" s="84">
        <f t="shared" si="24"/>
        <v>579871</v>
      </c>
      <c r="BX7" s="84">
        <v>580556</v>
      </c>
      <c r="BY7" s="84">
        <v>2002</v>
      </c>
      <c r="BZ7" s="84">
        <f t="shared" si="25"/>
        <v>33988</v>
      </c>
      <c r="CA7" s="84">
        <v>35990</v>
      </c>
      <c r="CB7" s="84"/>
      <c r="CC7" s="84">
        <f t="shared" si="26"/>
        <v>244969</v>
      </c>
      <c r="CD7" s="84">
        <v>244969</v>
      </c>
      <c r="CE7" s="84">
        <v>1544</v>
      </c>
      <c r="CF7" s="84">
        <f t="shared" si="27"/>
        <v>266173</v>
      </c>
      <c r="CG7" s="84">
        <v>267717</v>
      </c>
      <c r="CH7" s="84">
        <v>10198</v>
      </c>
      <c r="CI7" s="84">
        <f t="shared" si="28"/>
        <v>1186978</v>
      </c>
      <c r="CJ7" s="84">
        <v>1197176</v>
      </c>
      <c r="CK7" s="84">
        <v>9199</v>
      </c>
      <c r="CL7" s="84">
        <f t="shared" si="29"/>
        <v>773367</v>
      </c>
      <c r="CM7" s="84">
        <v>782566</v>
      </c>
      <c r="CN7" s="84">
        <v>7154</v>
      </c>
      <c r="CO7" s="84">
        <f t="shared" si="30"/>
        <v>1597455</v>
      </c>
      <c r="CP7" s="84">
        <v>1604609</v>
      </c>
      <c r="CQ7" s="84">
        <v>609</v>
      </c>
      <c r="CR7" s="84">
        <f t="shared" si="31"/>
        <v>116501</v>
      </c>
      <c r="CS7" s="84">
        <v>117110</v>
      </c>
    </row>
    <row r="8" spans="1:97" x14ac:dyDescent="0.25">
      <c r="A8" s="84" t="s">
        <v>154</v>
      </c>
      <c r="B8" s="84"/>
      <c r="C8" s="84">
        <f t="shared" si="0"/>
        <v>494</v>
      </c>
      <c r="D8" s="84">
        <v>494</v>
      </c>
      <c r="E8" s="84"/>
      <c r="F8" s="84">
        <f t="shared" si="1"/>
        <v>3314</v>
      </c>
      <c r="G8" s="84">
        <v>3314</v>
      </c>
      <c r="H8" s="84"/>
      <c r="I8" s="84">
        <f t="shared" si="2"/>
        <v>0</v>
      </c>
      <c r="J8" s="84">
        <v>0</v>
      </c>
      <c r="K8" s="84">
        <v>302</v>
      </c>
      <c r="L8" s="84">
        <f t="shared" si="3"/>
        <v>17814</v>
      </c>
      <c r="M8" s="84">
        <v>18116</v>
      </c>
      <c r="N8" s="84">
        <v>0</v>
      </c>
      <c r="O8" s="84">
        <f t="shared" si="4"/>
        <v>1415</v>
      </c>
      <c r="P8" s="84">
        <v>1415</v>
      </c>
      <c r="Q8" s="84">
        <v>0</v>
      </c>
      <c r="R8" s="84">
        <f t="shared" si="5"/>
        <v>11483</v>
      </c>
      <c r="S8" s="84">
        <v>11483</v>
      </c>
      <c r="U8" s="84">
        <f t="shared" si="6"/>
        <v>544</v>
      </c>
      <c r="V8" s="84">
        <v>544</v>
      </c>
      <c r="W8" s="84"/>
      <c r="X8" s="84">
        <f t="shared" si="7"/>
        <v>86</v>
      </c>
      <c r="Y8" s="84">
        <v>86</v>
      </c>
      <c r="Z8" s="84">
        <v>68</v>
      </c>
      <c r="AA8" s="84">
        <f t="shared" si="8"/>
        <v>4895</v>
      </c>
      <c r="AB8" s="84">
        <v>4963</v>
      </c>
      <c r="AC8" s="84">
        <v>18</v>
      </c>
      <c r="AD8" s="84">
        <f t="shared" si="9"/>
        <v>5431</v>
      </c>
      <c r="AE8" s="84">
        <v>5449</v>
      </c>
      <c r="AF8" s="84">
        <v>128</v>
      </c>
      <c r="AG8" s="84">
        <f t="shared" si="10"/>
        <v>11631</v>
      </c>
      <c r="AH8" s="84">
        <v>11759</v>
      </c>
      <c r="AI8" s="84">
        <v>522</v>
      </c>
      <c r="AJ8" s="84">
        <f t="shared" si="11"/>
        <v>33739</v>
      </c>
      <c r="AK8" s="84">
        <v>34261</v>
      </c>
      <c r="AL8" s="84">
        <v>6</v>
      </c>
      <c r="AM8" s="84">
        <f t="shared" si="12"/>
        <v>29674</v>
      </c>
      <c r="AN8" s="84">
        <v>29680</v>
      </c>
      <c r="AO8" s="84">
        <v>8</v>
      </c>
      <c r="AP8" s="84">
        <f t="shared" si="13"/>
        <v>2127</v>
      </c>
      <c r="AQ8" s="84">
        <v>2135</v>
      </c>
      <c r="AR8" s="84">
        <v>8</v>
      </c>
      <c r="AS8" s="84">
        <f t="shared" si="14"/>
        <v>3930</v>
      </c>
      <c r="AT8" s="84">
        <v>3938</v>
      </c>
      <c r="AU8" s="84"/>
      <c r="AV8" s="84">
        <f t="shared" si="15"/>
        <v>749</v>
      </c>
      <c r="AW8" s="84">
        <v>749</v>
      </c>
      <c r="AX8" s="84"/>
      <c r="AY8" s="84">
        <f t="shared" si="16"/>
        <v>7798</v>
      </c>
      <c r="AZ8" s="84">
        <v>7798</v>
      </c>
      <c r="BA8" s="84"/>
      <c r="BB8" s="84">
        <f t="shared" si="17"/>
        <v>3101</v>
      </c>
      <c r="BC8" s="84">
        <v>3101</v>
      </c>
      <c r="BD8" s="84">
        <v>2050</v>
      </c>
      <c r="BE8" s="84">
        <f t="shared" si="18"/>
        <v>47112</v>
      </c>
      <c r="BF8" s="84">
        <v>49162</v>
      </c>
      <c r="BG8" s="84"/>
      <c r="BH8" s="84">
        <f t="shared" si="19"/>
        <v>25</v>
      </c>
      <c r="BI8" s="84">
        <v>25</v>
      </c>
      <c r="BJ8" s="84"/>
      <c r="BK8" s="84">
        <f t="shared" si="20"/>
        <v>0</v>
      </c>
      <c r="BL8" s="84">
        <v>0</v>
      </c>
      <c r="BM8" s="84">
        <v>7</v>
      </c>
      <c r="BN8" s="84">
        <f t="shared" si="21"/>
        <v>12689</v>
      </c>
      <c r="BO8" s="84">
        <v>12696</v>
      </c>
      <c r="BP8" s="84"/>
      <c r="BQ8" s="84">
        <f t="shared" si="22"/>
        <v>9639</v>
      </c>
      <c r="BR8" s="84">
        <v>9639</v>
      </c>
      <c r="BS8" s="84"/>
      <c r="BT8" s="84">
        <f t="shared" si="23"/>
        <v>2369</v>
      </c>
      <c r="BU8" s="84">
        <v>2369</v>
      </c>
      <c r="BV8" s="84"/>
      <c r="BW8" s="84">
        <f t="shared" si="24"/>
        <v>3944</v>
      </c>
      <c r="BX8" s="84">
        <v>3944</v>
      </c>
      <c r="BY8" s="84">
        <v>209</v>
      </c>
      <c r="BZ8" s="84">
        <f t="shared" si="25"/>
        <v>1443</v>
      </c>
      <c r="CA8" s="84">
        <v>1652</v>
      </c>
      <c r="CB8" s="84"/>
      <c r="CC8" s="84">
        <f t="shared" si="26"/>
        <v>53076</v>
      </c>
      <c r="CD8" s="84">
        <v>53076</v>
      </c>
      <c r="CE8" s="84"/>
      <c r="CF8" s="84">
        <f t="shared" si="27"/>
        <v>4938</v>
      </c>
      <c r="CG8" s="84">
        <v>4938</v>
      </c>
      <c r="CH8" s="84">
        <v>124</v>
      </c>
      <c r="CI8" s="84">
        <f t="shared" si="28"/>
        <v>6299</v>
      </c>
      <c r="CJ8" s="84">
        <v>6423</v>
      </c>
      <c r="CK8" s="84">
        <v>9</v>
      </c>
      <c r="CL8" s="84">
        <f t="shared" si="29"/>
        <v>720</v>
      </c>
      <c r="CM8" s="84">
        <v>729</v>
      </c>
      <c r="CN8" s="84">
        <v>1865</v>
      </c>
      <c r="CO8" s="84">
        <f t="shared" si="30"/>
        <v>127656</v>
      </c>
      <c r="CP8" s="84">
        <v>129521</v>
      </c>
      <c r="CQ8" s="84">
        <v>9</v>
      </c>
      <c r="CR8" s="84">
        <f t="shared" si="31"/>
        <v>3995</v>
      </c>
      <c r="CS8" s="84">
        <v>4004</v>
      </c>
    </row>
    <row r="9" spans="1:97" x14ac:dyDescent="0.25">
      <c r="A9" s="84" t="s">
        <v>155</v>
      </c>
      <c r="B9" s="84">
        <v>1</v>
      </c>
      <c r="C9" s="84">
        <f t="shared" si="0"/>
        <v>15625</v>
      </c>
      <c r="D9" s="84">
        <v>15626</v>
      </c>
      <c r="E9" s="84"/>
      <c r="F9" s="84">
        <f t="shared" si="1"/>
        <v>0</v>
      </c>
      <c r="G9" s="84"/>
      <c r="H9" s="84"/>
      <c r="I9" s="84">
        <f t="shared" si="2"/>
        <v>32434</v>
      </c>
      <c r="J9" s="84">
        <v>32434</v>
      </c>
      <c r="K9" s="84">
        <v>1569</v>
      </c>
      <c r="L9" s="84">
        <f t="shared" si="3"/>
        <v>42385</v>
      </c>
      <c r="M9" s="84">
        <v>43954</v>
      </c>
      <c r="N9" s="84">
        <v>153</v>
      </c>
      <c r="O9" s="84">
        <f t="shared" si="4"/>
        <v>5861</v>
      </c>
      <c r="P9" s="84">
        <v>6014</v>
      </c>
      <c r="Q9" s="84">
        <v>945</v>
      </c>
      <c r="R9" s="84">
        <f t="shared" si="5"/>
        <v>8966</v>
      </c>
      <c r="S9" s="84">
        <v>9911</v>
      </c>
      <c r="T9" s="84"/>
      <c r="U9" s="84">
        <f t="shared" si="6"/>
        <v>0</v>
      </c>
      <c r="V9" s="84">
        <v>0</v>
      </c>
      <c r="W9" s="84">
        <v>4</v>
      </c>
      <c r="X9" s="84">
        <f t="shared" si="7"/>
        <v>316</v>
      </c>
      <c r="Y9" s="84">
        <v>320</v>
      </c>
      <c r="Z9" s="84">
        <v>19</v>
      </c>
      <c r="AA9" s="84">
        <f t="shared" si="8"/>
        <v>4066</v>
      </c>
      <c r="AB9" s="84">
        <v>4085</v>
      </c>
      <c r="AC9" s="84">
        <v>14</v>
      </c>
      <c r="AD9" s="84">
        <f t="shared" si="9"/>
        <v>3216</v>
      </c>
      <c r="AE9" s="84">
        <v>3230</v>
      </c>
      <c r="AF9" s="84">
        <v>76</v>
      </c>
      <c r="AG9" s="84">
        <f t="shared" si="10"/>
        <v>26631</v>
      </c>
      <c r="AH9" s="84">
        <v>26707</v>
      </c>
      <c r="AI9" s="84">
        <v>730</v>
      </c>
      <c r="AJ9" s="84">
        <f t="shared" si="11"/>
        <v>24407</v>
      </c>
      <c r="AK9" s="84">
        <v>25137</v>
      </c>
      <c r="AL9" s="84">
        <v>222</v>
      </c>
      <c r="AM9" s="84">
        <f t="shared" si="12"/>
        <v>22191</v>
      </c>
      <c r="AN9" s="84">
        <v>22413</v>
      </c>
      <c r="AO9" s="84"/>
      <c r="AP9" s="84">
        <f t="shared" si="13"/>
        <v>847</v>
      </c>
      <c r="AQ9" s="84">
        <v>847</v>
      </c>
      <c r="AR9" s="84">
        <v>73</v>
      </c>
      <c r="AS9" s="84">
        <f t="shared" si="14"/>
        <v>3270</v>
      </c>
      <c r="AT9" s="84">
        <v>3343</v>
      </c>
      <c r="AU9" s="84">
        <v>39</v>
      </c>
      <c r="AV9" s="84">
        <f t="shared" si="15"/>
        <v>2387</v>
      </c>
      <c r="AW9" s="84">
        <v>2426</v>
      </c>
      <c r="AX9" s="84"/>
      <c r="AY9" s="84">
        <f t="shared" si="16"/>
        <v>0</v>
      </c>
      <c r="AZ9" s="84"/>
      <c r="BA9" s="84"/>
      <c r="BB9" s="84">
        <f t="shared" si="17"/>
        <v>0</v>
      </c>
      <c r="BC9" s="84"/>
      <c r="BD9" s="84"/>
      <c r="BE9" s="84">
        <f t="shared" si="18"/>
        <v>0</v>
      </c>
      <c r="BF9" s="84"/>
      <c r="BG9" s="84"/>
      <c r="BH9" s="84">
        <f t="shared" si="19"/>
        <v>259</v>
      </c>
      <c r="BI9" s="84">
        <v>259</v>
      </c>
      <c r="BJ9" s="84"/>
      <c r="BK9" s="84">
        <f t="shared" si="20"/>
        <v>0</v>
      </c>
      <c r="BL9" s="84">
        <v>0</v>
      </c>
      <c r="BM9" s="84">
        <v>569</v>
      </c>
      <c r="BN9" s="84">
        <f t="shared" si="21"/>
        <v>12245</v>
      </c>
      <c r="BO9" s="84">
        <v>12814</v>
      </c>
      <c r="BP9" s="84"/>
      <c r="BQ9" s="84">
        <f t="shared" si="22"/>
        <v>0</v>
      </c>
      <c r="BR9" s="84"/>
      <c r="BS9" s="84">
        <v>248</v>
      </c>
      <c r="BT9" s="84">
        <f t="shared" si="23"/>
        <v>3778</v>
      </c>
      <c r="BU9" s="84">
        <v>4026</v>
      </c>
      <c r="BV9" s="84">
        <v>472</v>
      </c>
      <c r="BW9" s="84">
        <f t="shared" si="24"/>
        <v>20750</v>
      </c>
      <c r="BX9" s="84">
        <v>21222</v>
      </c>
      <c r="BY9" s="84">
        <v>134</v>
      </c>
      <c r="BZ9" s="84">
        <f t="shared" si="25"/>
        <v>4770</v>
      </c>
      <c r="CA9" s="84">
        <v>4904</v>
      </c>
      <c r="CB9" s="84"/>
      <c r="CC9" s="84">
        <f t="shared" si="26"/>
        <v>0</v>
      </c>
      <c r="CD9" s="84"/>
      <c r="CE9" s="84">
        <v>653</v>
      </c>
      <c r="CF9" s="84">
        <f t="shared" si="27"/>
        <v>32351</v>
      </c>
      <c r="CG9" s="84">
        <v>33004</v>
      </c>
      <c r="CH9" s="84"/>
      <c r="CI9" s="84">
        <f t="shared" si="28"/>
        <v>0</v>
      </c>
      <c r="CJ9" s="84"/>
      <c r="CK9" s="84"/>
      <c r="CL9" s="84">
        <f t="shared" si="29"/>
        <v>0</v>
      </c>
      <c r="CM9" s="84"/>
      <c r="CN9" s="84">
        <v>97</v>
      </c>
      <c r="CO9" s="84">
        <f t="shared" si="30"/>
        <v>10485</v>
      </c>
      <c r="CP9" s="84">
        <v>10582</v>
      </c>
      <c r="CQ9" s="84">
        <v>221</v>
      </c>
      <c r="CR9" s="84">
        <f t="shared" si="31"/>
        <v>8622</v>
      </c>
      <c r="CS9" s="84">
        <v>8843</v>
      </c>
    </row>
    <row r="10" spans="1:97" x14ac:dyDescent="0.25">
      <c r="A10" s="84" t="s">
        <v>156</v>
      </c>
      <c r="B10" s="84">
        <v>324</v>
      </c>
      <c r="C10" s="84">
        <f t="shared" si="0"/>
        <v>10047</v>
      </c>
      <c r="D10" s="84">
        <v>10371</v>
      </c>
      <c r="E10" s="84"/>
      <c r="F10" s="84">
        <f t="shared" si="1"/>
        <v>7759</v>
      </c>
      <c r="G10" s="84">
        <v>7759</v>
      </c>
      <c r="H10" s="84"/>
      <c r="I10" s="84">
        <f t="shared" si="2"/>
        <v>5072491</v>
      </c>
      <c r="J10" s="84">
        <v>5072491</v>
      </c>
      <c r="K10" s="84">
        <v>52721</v>
      </c>
      <c r="L10" s="84">
        <f t="shared" si="3"/>
        <v>176618</v>
      </c>
      <c r="M10" s="84">
        <v>229339</v>
      </c>
      <c r="N10" s="84">
        <v>10709</v>
      </c>
      <c r="O10" s="84">
        <f t="shared" si="4"/>
        <v>23695</v>
      </c>
      <c r="P10" s="84">
        <v>34404</v>
      </c>
      <c r="Q10" s="84">
        <v>29094</v>
      </c>
      <c r="R10" s="84">
        <f t="shared" si="5"/>
        <v>46056</v>
      </c>
      <c r="S10" s="84">
        <v>75150</v>
      </c>
      <c r="T10" s="84"/>
      <c r="U10" s="84">
        <f t="shared" si="6"/>
        <v>979</v>
      </c>
      <c r="V10" s="84">
        <v>979</v>
      </c>
      <c r="W10" s="84">
        <v>158</v>
      </c>
      <c r="X10" s="84">
        <f t="shared" si="7"/>
        <v>2392</v>
      </c>
      <c r="Y10" s="84">
        <v>2550</v>
      </c>
      <c r="Z10" s="84">
        <v>8397</v>
      </c>
      <c r="AA10" s="84">
        <f t="shared" si="8"/>
        <v>18715</v>
      </c>
      <c r="AB10" s="84">
        <v>27112</v>
      </c>
      <c r="AC10" s="84">
        <v>3498</v>
      </c>
      <c r="AD10" s="84">
        <f t="shared" si="9"/>
        <v>10341</v>
      </c>
      <c r="AE10" s="84">
        <v>13839</v>
      </c>
      <c r="AF10" s="84">
        <v>33947</v>
      </c>
      <c r="AG10" s="84">
        <f t="shared" si="10"/>
        <v>100635</v>
      </c>
      <c r="AH10" s="84">
        <v>134582</v>
      </c>
      <c r="AI10" s="84">
        <v>49159</v>
      </c>
      <c r="AJ10" s="84">
        <f t="shared" si="11"/>
        <v>183556</v>
      </c>
      <c r="AK10" s="84">
        <v>232715</v>
      </c>
      <c r="AL10" s="84">
        <v>36836</v>
      </c>
      <c r="AM10" s="84">
        <f t="shared" si="12"/>
        <v>65360</v>
      </c>
      <c r="AN10" s="84">
        <v>102196</v>
      </c>
      <c r="AO10" s="84">
        <v>838</v>
      </c>
      <c r="AP10" s="84">
        <f t="shared" si="13"/>
        <v>4197</v>
      </c>
      <c r="AQ10" s="84">
        <v>5035</v>
      </c>
      <c r="AR10" s="84">
        <v>6630</v>
      </c>
      <c r="AS10" s="84">
        <f t="shared" si="14"/>
        <v>7994</v>
      </c>
      <c r="AT10" s="84">
        <v>14624</v>
      </c>
      <c r="AU10" s="84">
        <v>7433</v>
      </c>
      <c r="AV10" s="84">
        <f t="shared" si="15"/>
        <v>6591</v>
      </c>
      <c r="AW10" s="84">
        <v>14024</v>
      </c>
      <c r="AX10" s="84"/>
      <c r="AY10" s="84">
        <f t="shared" si="16"/>
        <v>5677</v>
      </c>
      <c r="AZ10" s="84">
        <v>5677</v>
      </c>
      <c r="BA10" s="84"/>
      <c r="BB10" s="84">
        <f t="shared" si="17"/>
        <v>9297</v>
      </c>
      <c r="BC10" s="84">
        <v>9297</v>
      </c>
      <c r="BD10" s="84">
        <v>98004</v>
      </c>
      <c r="BE10" s="84">
        <f t="shared" si="18"/>
        <v>411357</v>
      </c>
      <c r="BF10" s="84">
        <v>509361</v>
      </c>
      <c r="BG10" s="84">
        <v>185</v>
      </c>
      <c r="BH10" s="84">
        <f t="shared" si="19"/>
        <v>749</v>
      </c>
      <c r="BI10" s="84">
        <v>934</v>
      </c>
      <c r="BJ10" s="84">
        <v>568</v>
      </c>
      <c r="BK10" s="84">
        <f t="shared" si="20"/>
        <v>2161</v>
      </c>
      <c r="BL10" s="84">
        <v>2729</v>
      </c>
      <c r="BM10" s="84">
        <v>57788</v>
      </c>
      <c r="BN10" s="84">
        <f t="shared" si="21"/>
        <v>243577</v>
      </c>
      <c r="BO10" s="84">
        <v>301365</v>
      </c>
      <c r="BP10" s="84"/>
      <c r="BQ10" s="84">
        <f t="shared" si="22"/>
        <v>17272</v>
      </c>
      <c r="BR10" s="84">
        <v>17272</v>
      </c>
      <c r="BS10" s="84">
        <v>21442</v>
      </c>
      <c r="BT10" s="84">
        <f t="shared" si="23"/>
        <v>26947</v>
      </c>
      <c r="BU10" s="84">
        <v>48389</v>
      </c>
      <c r="BV10" s="84">
        <v>8220</v>
      </c>
      <c r="BW10" s="84">
        <f t="shared" si="24"/>
        <v>79962</v>
      </c>
      <c r="BX10" s="84">
        <v>88182</v>
      </c>
      <c r="BY10" s="84">
        <v>42909</v>
      </c>
      <c r="BZ10" s="84">
        <f t="shared" si="25"/>
        <v>11905</v>
      </c>
      <c r="CA10" s="84">
        <v>54814</v>
      </c>
      <c r="CB10" s="84"/>
      <c r="CC10" s="84">
        <f t="shared" si="26"/>
        <v>121040</v>
      </c>
      <c r="CD10" s="84">
        <v>121040</v>
      </c>
      <c r="CE10" s="84">
        <v>23532</v>
      </c>
      <c r="CF10" s="84">
        <f t="shared" si="27"/>
        <v>86006</v>
      </c>
      <c r="CG10" s="84">
        <v>109538</v>
      </c>
      <c r="CH10" s="84">
        <v>161199</v>
      </c>
      <c r="CI10" s="84">
        <f t="shared" si="28"/>
        <v>267425</v>
      </c>
      <c r="CJ10" s="84">
        <v>428624</v>
      </c>
      <c r="CK10" s="84">
        <v>93055</v>
      </c>
      <c r="CL10" s="84">
        <f t="shared" si="29"/>
        <v>469249</v>
      </c>
      <c r="CM10" s="84">
        <v>562304</v>
      </c>
      <c r="CN10" s="84">
        <v>169752</v>
      </c>
      <c r="CO10" s="84">
        <f t="shared" si="30"/>
        <v>600311</v>
      </c>
      <c r="CP10" s="84">
        <v>770063</v>
      </c>
      <c r="CQ10" s="84">
        <v>8969</v>
      </c>
      <c r="CR10" s="84">
        <f t="shared" si="31"/>
        <v>28179</v>
      </c>
      <c r="CS10" s="84">
        <v>37148</v>
      </c>
    </row>
    <row r="11" spans="1:97" x14ac:dyDescent="0.25">
      <c r="A11" s="84" t="s">
        <v>157</v>
      </c>
      <c r="B11" s="84">
        <v>105</v>
      </c>
      <c r="C11" s="84">
        <f t="shared" si="0"/>
        <v>9224</v>
      </c>
      <c r="D11" s="84">
        <v>9329</v>
      </c>
      <c r="E11" s="84"/>
      <c r="F11" s="84">
        <f t="shared" si="1"/>
        <v>7731</v>
      </c>
      <c r="G11" s="84">
        <v>7731</v>
      </c>
      <c r="H11" s="84"/>
      <c r="I11" s="84">
        <f t="shared" si="2"/>
        <v>1810040</v>
      </c>
      <c r="J11" s="84">
        <v>1810040</v>
      </c>
      <c r="K11" s="84">
        <v>3289</v>
      </c>
      <c r="L11" s="84">
        <f t="shared" si="3"/>
        <v>84450</v>
      </c>
      <c r="M11" s="84">
        <v>87739</v>
      </c>
      <c r="N11" s="84">
        <v>786</v>
      </c>
      <c r="O11" s="84">
        <f t="shared" si="4"/>
        <v>15602</v>
      </c>
      <c r="P11" s="84">
        <v>16388</v>
      </c>
      <c r="Q11" s="84">
        <v>2870</v>
      </c>
      <c r="R11" s="84">
        <f t="shared" si="5"/>
        <v>26296</v>
      </c>
      <c r="S11" s="84">
        <v>29166</v>
      </c>
      <c r="T11" s="84"/>
      <c r="U11" s="84">
        <f t="shared" si="6"/>
        <v>319</v>
      </c>
      <c r="V11" s="84">
        <v>319</v>
      </c>
      <c r="W11" s="84">
        <v>22</v>
      </c>
      <c r="X11" s="84">
        <f t="shared" si="7"/>
        <v>2222</v>
      </c>
      <c r="Y11" s="84">
        <v>2244</v>
      </c>
      <c r="Z11" s="84">
        <v>617</v>
      </c>
      <c r="AA11" s="84">
        <f t="shared" si="8"/>
        <v>13913</v>
      </c>
      <c r="AB11" s="84">
        <v>14530</v>
      </c>
      <c r="AC11" s="84">
        <v>1062</v>
      </c>
      <c r="AD11" s="84">
        <f t="shared" si="9"/>
        <v>8927</v>
      </c>
      <c r="AE11" s="84">
        <v>9989</v>
      </c>
      <c r="AF11" s="84">
        <v>2419</v>
      </c>
      <c r="AG11" s="84">
        <f t="shared" si="10"/>
        <v>75695</v>
      </c>
      <c r="AH11" s="84">
        <v>78114</v>
      </c>
      <c r="AI11" s="84">
        <v>4001</v>
      </c>
      <c r="AJ11" s="84">
        <f t="shared" si="11"/>
        <v>158118</v>
      </c>
      <c r="AK11" s="84">
        <v>162119</v>
      </c>
      <c r="AL11" s="84">
        <v>108</v>
      </c>
      <c r="AM11" s="84">
        <f t="shared" si="12"/>
        <v>48752</v>
      </c>
      <c r="AN11" s="84">
        <v>48860</v>
      </c>
      <c r="AO11" s="84">
        <v>105</v>
      </c>
      <c r="AP11" s="84">
        <f t="shared" si="13"/>
        <v>3401</v>
      </c>
      <c r="AQ11" s="84">
        <v>3506</v>
      </c>
      <c r="AR11" s="84">
        <v>992</v>
      </c>
      <c r="AS11" s="84">
        <f t="shared" si="14"/>
        <v>6064</v>
      </c>
      <c r="AT11" s="84">
        <v>7056</v>
      </c>
      <c r="AU11" s="84">
        <v>777</v>
      </c>
      <c r="AV11" s="84">
        <f t="shared" si="15"/>
        <v>5203</v>
      </c>
      <c r="AW11" s="84">
        <v>5980</v>
      </c>
      <c r="AX11" s="84"/>
      <c r="AY11" s="84">
        <f t="shared" si="16"/>
        <v>5556</v>
      </c>
      <c r="AZ11" s="84">
        <v>5556</v>
      </c>
      <c r="BA11" s="84"/>
      <c r="BB11" s="84">
        <f t="shared" si="17"/>
        <v>8720</v>
      </c>
      <c r="BC11" s="84">
        <v>8720</v>
      </c>
      <c r="BD11" s="84">
        <v>5711</v>
      </c>
      <c r="BE11" s="84">
        <f t="shared" si="18"/>
        <v>129526</v>
      </c>
      <c r="BF11" s="84">
        <v>135237</v>
      </c>
      <c r="BG11" s="84">
        <v>15</v>
      </c>
      <c r="BH11" s="84">
        <f t="shared" si="19"/>
        <v>671</v>
      </c>
      <c r="BI11" s="84">
        <v>686</v>
      </c>
      <c r="BJ11" s="84">
        <v>59</v>
      </c>
      <c r="BK11" s="84">
        <f t="shared" si="20"/>
        <v>1781</v>
      </c>
      <c r="BL11" s="84">
        <v>1840</v>
      </c>
      <c r="BM11" s="84">
        <v>2323</v>
      </c>
      <c r="BN11" s="84">
        <f t="shared" si="21"/>
        <v>215678</v>
      </c>
      <c r="BO11" s="84">
        <v>218001</v>
      </c>
      <c r="BP11" s="84"/>
      <c r="BQ11" s="84">
        <f t="shared" si="22"/>
        <v>14979</v>
      </c>
      <c r="BR11" s="84">
        <v>14979</v>
      </c>
      <c r="BS11" s="84">
        <v>1487</v>
      </c>
      <c r="BT11" s="84">
        <f t="shared" si="23"/>
        <v>18515</v>
      </c>
      <c r="BU11" s="84">
        <v>20002</v>
      </c>
      <c r="BV11" s="84">
        <v>1303</v>
      </c>
      <c r="BW11" s="84">
        <f t="shared" si="24"/>
        <v>68325</v>
      </c>
      <c r="BX11" s="84">
        <v>69628</v>
      </c>
      <c r="BY11" s="84">
        <v>2209</v>
      </c>
      <c r="BZ11" s="84">
        <f t="shared" si="25"/>
        <v>7569</v>
      </c>
      <c r="CA11" s="84">
        <v>9778</v>
      </c>
      <c r="CB11" s="84"/>
      <c r="CC11" s="84">
        <f t="shared" si="26"/>
        <v>105243</v>
      </c>
      <c r="CD11" s="84">
        <v>105243</v>
      </c>
      <c r="CE11" s="84">
        <v>2168</v>
      </c>
      <c r="CF11" s="84">
        <f t="shared" si="27"/>
        <v>70073</v>
      </c>
      <c r="CG11" s="84">
        <v>72241</v>
      </c>
      <c r="CH11" s="84">
        <f>1415+3448</f>
        <v>4863</v>
      </c>
      <c r="CI11" s="84">
        <f t="shared" si="28"/>
        <v>214587</v>
      </c>
      <c r="CJ11" s="84">
        <f>146471+72979</f>
        <v>219450</v>
      </c>
      <c r="CK11" s="84">
        <v>9656</v>
      </c>
      <c r="CL11" s="84">
        <f t="shared" si="29"/>
        <v>420714</v>
      </c>
      <c r="CM11" s="84">
        <v>430370</v>
      </c>
      <c r="CN11" s="84">
        <v>9009</v>
      </c>
      <c r="CO11" s="84">
        <f t="shared" si="30"/>
        <v>527943</v>
      </c>
      <c r="CP11" s="84">
        <v>536952</v>
      </c>
      <c r="CQ11" s="84">
        <v>788</v>
      </c>
      <c r="CR11" s="84">
        <f t="shared" si="31"/>
        <v>22213</v>
      </c>
      <c r="CS11" s="84">
        <v>23001</v>
      </c>
    </row>
    <row r="12" spans="1:97" x14ac:dyDescent="0.25">
      <c r="A12" s="84" t="s">
        <v>158</v>
      </c>
      <c r="B12" s="84">
        <v>62</v>
      </c>
      <c r="C12" s="84">
        <f t="shared" si="0"/>
        <v>278</v>
      </c>
      <c r="D12" s="84">
        <v>340</v>
      </c>
      <c r="E12" s="84"/>
      <c r="F12" s="84">
        <f t="shared" si="1"/>
        <v>11</v>
      </c>
      <c r="G12" s="84">
        <v>11</v>
      </c>
      <c r="H12" s="84"/>
      <c r="I12" s="84">
        <f t="shared" si="2"/>
        <v>184215</v>
      </c>
      <c r="J12" s="84">
        <v>184215</v>
      </c>
      <c r="K12" s="84">
        <v>2337</v>
      </c>
      <c r="L12" s="84">
        <f t="shared" si="3"/>
        <v>42995</v>
      </c>
      <c r="M12" s="84">
        <v>45332</v>
      </c>
      <c r="N12" s="84">
        <v>513</v>
      </c>
      <c r="O12" s="84">
        <f t="shared" si="4"/>
        <v>4370</v>
      </c>
      <c r="P12" s="84">
        <v>4883</v>
      </c>
      <c r="Q12" s="84">
        <v>1230</v>
      </c>
      <c r="R12" s="84">
        <f t="shared" si="5"/>
        <v>2950</v>
      </c>
      <c r="S12" s="84">
        <v>4180</v>
      </c>
      <c r="T12" s="84"/>
      <c r="U12" s="84">
        <f t="shared" si="6"/>
        <v>306</v>
      </c>
      <c r="V12" s="84">
        <v>306</v>
      </c>
      <c r="W12" s="84">
        <v>21</v>
      </c>
      <c r="X12" s="84">
        <f t="shared" si="7"/>
        <v>130</v>
      </c>
      <c r="Y12" s="84">
        <v>151</v>
      </c>
      <c r="Z12" s="84">
        <v>326</v>
      </c>
      <c r="AA12" s="84">
        <f t="shared" si="8"/>
        <v>1369</v>
      </c>
      <c r="AB12" s="84">
        <v>1695</v>
      </c>
      <c r="AC12" s="84">
        <v>547</v>
      </c>
      <c r="AD12" s="84">
        <f t="shared" si="9"/>
        <v>576</v>
      </c>
      <c r="AE12" s="84">
        <v>1123</v>
      </c>
      <c r="AF12" s="84">
        <v>1513</v>
      </c>
      <c r="AG12" s="84">
        <f t="shared" si="10"/>
        <v>17570</v>
      </c>
      <c r="AH12" s="84">
        <v>19083</v>
      </c>
      <c r="AI12" s="84">
        <v>1856</v>
      </c>
      <c r="AJ12" s="84">
        <f t="shared" si="11"/>
        <v>5054</v>
      </c>
      <c r="AK12" s="84">
        <v>6910</v>
      </c>
      <c r="AL12" s="84">
        <v>462</v>
      </c>
      <c r="AM12" s="84">
        <f t="shared" si="12"/>
        <v>9549</v>
      </c>
      <c r="AN12" s="84">
        <v>10011</v>
      </c>
      <c r="AO12" s="84">
        <v>73</v>
      </c>
      <c r="AP12" s="84">
        <f t="shared" si="13"/>
        <v>429</v>
      </c>
      <c r="AQ12" s="84">
        <v>502</v>
      </c>
      <c r="AR12" s="84">
        <v>711</v>
      </c>
      <c r="AS12" s="84">
        <f t="shared" si="14"/>
        <v>571</v>
      </c>
      <c r="AT12" s="84">
        <v>1282</v>
      </c>
      <c r="AU12" s="84">
        <v>714</v>
      </c>
      <c r="AV12" s="84">
        <f t="shared" si="15"/>
        <v>737</v>
      </c>
      <c r="AW12" s="84">
        <v>1451</v>
      </c>
      <c r="AX12" s="84"/>
      <c r="AY12" s="84">
        <f t="shared" si="16"/>
        <v>111</v>
      </c>
      <c r="AZ12" s="84">
        <v>111</v>
      </c>
      <c r="BA12" s="84"/>
      <c r="BB12" s="84">
        <f t="shared" si="17"/>
        <v>564</v>
      </c>
      <c r="BC12" s="84">
        <v>564</v>
      </c>
      <c r="BD12" s="84">
        <v>5213</v>
      </c>
      <c r="BE12" s="84">
        <f t="shared" si="18"/>
        <v>78839</v>
      </c>
      <c r="BF12" s="84">
        <v>84052</v>
      </c>
      <c r="BG12" s="84">
        <v>35</v>
      </c>
      <c r="BH12" s="84">
        <f t="shared" si="19"/>
        <v>50</v>
      </c>
      <c r="BI12" s="84">
        <v>85</v>
      </c>
      <c r="BJ12" s="84">
        <v>53</v>
      </c>
      <c r="BK12" s="84">
        <f t="shared" si="20"/>
        <v>171</v>
      </c>
      <c r="BL12" s="84">
        <v>224</v>
      </c>
      <c r="BM12" s="84">
        <v>1402</v>
      </c>
      <c r="BN12" s="84">
        <f t="shared" si="21"/>
        <v>11360</v>
      </c>
      <c r="BO12" s="84">
        <v>12762</v>
      </c>
      <c r="BP12" s="84"/>
      <c r="BQ12" s="84">
        <f t="shared" si="22"/>
        <v>1367</v>
      </c>
      <c r="BR12" s="84">
        <v>1367</v>
      </c>
      <c r="BS12" s="84">
        <v>855</v>
      </c>
      <c r="BT12" s="84">
        <f t="shared" si="23"/>
        <v>3206</v>
      </c>
      <c r="BU12" s="84">
        <v>4061</v>
      </c>
      <c r="BV12" s="84">
        <v>667</v>
      </c>
      <c r="BW12" s="84">
        <f t="shared" si="24"/>
        <v>6524</v>
      </c>
      <c r="BX12" s="84">
        <v>7191</v>
      </c>
      <c r="BY12" s="84">
        <v>1539</v>
      </c>
      <c r="BZ12" s="84">
        <f t="shared" si="25"/>
        <v>1039</v>
      </c>
      <c r="CA12" s="84">
        <v>2578</v>
      </c>
      <c r="CB12" s="84"/>
      <c r="CC12" s="84">
        <f t="shared" si="26"/>
        <v>12736</v>
      </c>
      <c r="CD12" s="84">
        <v>12736</v>
      </c>
      <c r="CE12" s="84">
        <v>1655</v>
      </c>
      <c r="CF12" s="84">
        <f t="shared" si="27"/>
        <v>7789</v>
      </c>
      <c r="CG12" s="84">
        <v>9444</v>
      </c>
      <c r="CH12" s="84">
        <v>4558</v>
      </c>
      <c r="CI12" s="84">
        <f t="shared" si="28"/>
        <v>19754</v>
      </c>
      <c r="CJ12" s="84">
        <v>24312</v>
      </c>
      <c r="CK12" s="84">
        <v>7102</v>
      </c>
      <c r="CL12" s="84">
        <f t="shared" si="29"/>
        <v>21373</v>
      </c>
      <c r="CM12" s="84">
        <v>28475</v>
      </c>
      <c r="CN12" s="84">
        <v>8289</v>
      </c>
      <c r="CO12" s="84">
        <f t="shared" si="30"/>
        <v>24456</v>
      </c>
      <c r="CP12" s="84">
        <v>32745</v>
      </c>
      <c r="CQ12" s="84">
        <v>436</v>
      </c>
      <c r="CR12" s="84">
        <f t="shared" si="31"/>
        <v>3549</v>
      </c>
      <c r="CS12" s="84">
        <v>3985</v>
      </c>
    </row>
    <row r="13" spans="1:97" x14ac:dyDescent="0.25">
      <c r="A13" s="84" t="s">
        <v>159</v>
      </c>
      <c r="B13" s="84">
        <v>85</v>
      </c>
      <c r="C13" s="84">
        <f t="shared" si="0"/>
        <v>281</v>
      </c>
      <c r="D13" s="84">
        <v>366</v>
      </c>
      <c r="E13" s="84"/>
      <c r="F13" s="84">
        <f t="shared" si="1"/>
        <v>17</v>
      </c>
      <c r="G13" s="84">
        <v>17</v>
      </c>
      <c r="H13" s="84"/>
      <c r="I13" s="84">
        <f t="shared" si="2"/>
        <v>1399728</v>
      </c>
      <c r="J13" s="84">
        <v>1399728</v>
      </c>
      <c r="K13" s="84">
        <v>4882</v>
      </c>
      <c r="L13" s="84">
        <f t="shared" si="3"/>
        <v>36425</v>
      </c>
      <c r="M13" s="84">
        <v>41307</v>
      </c>
      <c r="N13" s="84">
        <v>1054</v>
      </c>
      <c r="O13" s="84">
        <f t="shared" si="4"/>
        <v>1023</v>
      </c>
      <c r="P13" s="84">
        <v>2077</v>
      </c>
      <c r="Q13" s="84">
        <v>3470</v>
      </c>
      <c r="R13" s="84">
        <f t="shared" si="5"/>
        <v>1372</v>
      </c>
      <c r="S13" s="84">
        <v>4842</v>
      </c>
      <c r="T13" s="84"/>
      <c r="U13" s="84">
        <f t="shared" si="6"/>
        <v>220</v>
      </c>
      <c r="V13" s="84">
        <v>220</v>
      </c>
      <c r="W13" s="84">
        <v>45</v>
      </c>
      <c r="X13" s="84">
        <f t="shared" si="7"/>
        <v>39</v>
      </c>
      <c r="Y13" s="84">
        <v>84</v>
      </c>
      <c r="Z13" s="84">
        <v>911</v>
      </c>
      <c r="AA13" s="84">
        <f t="shared" si="8"/>
        <v>1015</v>
      </c>
      <c r="AB13" s="84">
        <v>1926</v>
      </c>
      <c r="AC13" s="84">
        <v>1017</v>
      </c>
      <c r="AD13" s="84">
        <f t="shared" si="9"/>
        <v>385</v>
      </c>
      <c r="AE13" s="84">
        <v>1402</v>
      </c>
      <c r="AF13" s="84">
        <v>3062</v>
      </c>
      <c r="AG13" s="84">
        <f t="shared" si="10"/>
        <v>3788</v>
      </c>
      <c r="AH13" s="84">
        <v>6850</v>
      </c>
      <c r="AI13" s="84">
        <v>4440</v>
      </c>
      <c r="AJ13" s="84">
        <f t="shared" si="11"/>
        <v>4521</v>
      </c>
      <c r="AK13" s="84">
        <v>8961</v>
      </c>
      <c r="AL13" s="84">
        <v>1690</v>
      </c>
      <c r="AM13" s="84">
        <f t="shared" si="12"/>
        <v>4262</v>
      </c>
      <c r="AN13" s="84">
        <v>5952</v>
      </c>
      <c r="AO13" s="84">
        <v>112</v>
      </c>
      <c r="AP13" s="84">
        <f t="shared" si="13"/>
        <v>179</v>
      </c>
      <c r="AQ13" s="84">
        <v>291</v>
      </c>
      <c r="AR13" s="84">
        <v>1439</v>
      </c>
      <c r="AS13" s="84">
        <f t="shared" si="14"/>
        <v>446</v>
      </c>
      <c r="AT13" s="84">
        <v>1885</v>
      </c>
      <c r="AU13" s="84">
        <v>1032</v>
      </c>
      <c r="AV13" s="84">
        <f t="shared" si="15"/>
        <v>168</v>
      </c>
      <c r="AW13" s="84">
        <v>1200</v>
      </c>
      <c r="AX13" s="84"/>
      <c r="AY13" s="84">
        <f t="shared" si="16"/>
        <v>6</v>
      </c>
      <c r="AZ13" s="84">
        <v>6</v>
      </c>
      <c r="BA13" s="84"/>
      <c r="BB13" s="84">
        <f t="shared" si="17"/>
        <v>10</v>
      </c>
      <c r="BC13" s="84">
        <v>10</v>
      </c>
      <c r="BD13" s="84">
        <v>12029</v>
      </c>
      <c r="BE13" s="84">
        <f t="shared" si="18"/>
        <v>36328</v>
      </c>
      <c r="BF13" s="84">
        <v>48357</v>
      </c>
      <c r="BG13" s="84">
        <v>92</v>
      </c>
      <c r="BH13" s="84">
        <f t="shared" si="19"/>
        <v>21</v>
      </c>
      <c r="BI13" s="84">
        <v>113</v>
      </c>
      <c r="BJ13" s="84">
        <v>103</v>
      </c>
      <c r="BK13" s="84">
        <f t="shared" si="20"/>
        <v>75</v>
      </c>
      <c r="BL13" s="84">
        <v>178</v>
      </c>
      <c r="BM13" s="84">
        <v>3562</v>
      </c>
      <c r="BN13" s="84">
        <f t="shared" si="21"/>
        <v>2522</v>
      </c>
      <c r="BO13" s="84">
        <v>6084</v>
      </c>
      <c r="BP13" s="84"/>
      <c r="BQ13" s="84">
        <f t="shared" si="22"/>
        <v>926</v>
      </c>
      <c r="BR13" s="84">
        <v>926</v>
      </c>
      <c r="BS13" s="84">
        <v>1888</v>
      </c>
      <c r="BT13" s="84">
        <f t="shared" si="23"/>
        <v>1991</v>
      </c>
      <c r="BU13" s="84">
        <v>3879</v>
      </c>
      <c r="BV13" s="84">
        <v>1009</v>
      </c>
      <c r="BW13" s="84">
        <f t="shared" si="24"/>
        <v>1551</v>
      </c>
      <c r="BX13" s="84">
        <v>2560</v>
      </c>
      <c r="BY13" s="84">
        <v>3303</v>
      </c>
      <c r="BZ13" s="84">
        <f t="shared" si="25"/>
        <v>379</v>
      </c>
      <c r="CA13" s="84">
        <v>3682</v>
      </c>
      <c r="CB13" s="84"/>
      <c r="CC13" s="84">
        <f t="shared" si="26"/>
        <v>2746</v>
      </c>
      <c r="CD13" s="84">
        <v>2746</v>
      </c>
      <c r="CE13" s="84">
        <v>4541</v>
      </c>
      <c r="CF13" s="84">
        <f t="shared" si="27"/>
        <v>3826</v>
      </c>
      <c r="CG13" s="84">
        <v>8367</v>
      </c>
      <c r="CH13" s="84">
        <v>13888</v>
      </c>
      <c r="CI13" s="84">
        <f t="shared" si="28"/>
        <v>11423</v>
      </c>
      <c r="CJ13" s="84">
        <v>25311</v>
      </c>
      <c r="CK13" s="84">
        <v>15284</v>
      </c>
      <c r="CL13" s="84">
        <f t="shared" si="29"/>
        <v>15514</v>
      </c>
      <c r="CM13" s="84">
        <v>30798</v>
      </c>
      <c r="CN13" s="84">
        <v>17980</v>
      </c>
      <c r="CO13" s="84">
        <f t="shared" si="30"/>
        <v>17719</v>
      </c>
      <c r="CP13" s="84">
        <v>35699</v>
      </c>
      <c r="CQ13" s="84">
        <v>1555</v>
      </c>
      <c r="CR13" s="84">
        <f t="shared" si="31"/>
        <v>1921</v>
      </c>
      <c r="CS13" s="84">
        <v>3476</v>
      </c>
    </row>
    <row r="14" spans="1:97" x14ac:dyDescent="0.25">
      <c r="A14" s="84" t="s">
        <v>160</v>
      </c>
      <c r="B14" s="84">
        <v>72</v>
      </c>
      <c r="C14" s="84">
        <f t="shared" si="0"/>
        <v>264</v>
      </c>
      <c r="D14" s="84">
        <v>336</v>
      </c>
      <c r="E14" s="84"/>
      <c r="F14" s="84">
        <f t="shared" si="1"/>
        <v>0</v>
      </c>
      <c r="G14" s="84"/>
      <c r="H14" s="84"/>
      <c r="I14" s="84">
        <f t="shared" si="2"/>
        <v>1678508</v>
      </c>
      <c r="J14" s="84">
        <v>1678508</v>
      </c>
      <c r="K14" s="84">
        <v>42213</v>
      </c>
      <c r="L14" s="84">
        <f t="shared" si="3"/>
        <v>12748</v>
      </c>
      <c r="M14" s="84">
        <v>54961</v>
      </c>
      <c r="N14" s="84">
        <v>8356</v>
      </c>
      <c r="O14" s="84">
        <f t="shared" si="4"/>
        <v>2700</v>
      </c>
      <c r="P14" s="84">
        <v>11056</v>
      </c>
      <c r="Q14" s="84">
        <v>21524</v>
      </c>
      <c r="R14" s="84">
        <f t="shared" si="5"/>
        <v>15438</v>
      </c>
      <c r="S14" s="84">
        <v>36962</v>
      </c>
      <c r="T14" s="84"/>
      <c r="U14" s="84">
        <f t="shared" si="6"/>
        <v>134</v>
      </c>
      <c r="V14" s="84">
        <v>134</v>
      </c>
      <c r="W14" s="84">
        <v>70</v>
      </c>
      <c r="X14" s="84">
        <f t="shared" si="7"/>
        <v>1</v>
      </c>
      <c r="Y14" s="84">
        <v>71</v>
      </c>
      <c r="Z14" s="84">
        <v>6543</v>
      </c>
      <c r="AA14" s="84">
        <f t="shared" si="8"/>
        <v>2418</v>
      </c>
      <c r="AB14" s="84">
        <v>8961</v>
      </c>
      <c r="AC14" s="84">
        <v>872</v>
      </c>
      <c r="AD14" s="84">
        <f t="shared" si="9"/>
        <v>453</v>
      </c>
      <c r="AE14" s="84">
        <v>1325</v>
      </c>
      <c r="AF14" s="84">
        <v>26953</v>
      </c>
      <c r="AG14" s="84">
        <f t="shared" si="10"/>
        <v>3582</v>
      </c>
      <c r="AH14" s="84">
        <v>30535</v>
      </c>
      <c r="AI14" s="84">
        <v>38862</v>
      </c>
      <c r="AJ14" s="84">
        <f t="shared" si="11"/>
        <v>15863</v>
      </c>
      <c r="AK14" s="84">
        <v>54725</v>
      </c>
      <c r="AL14" s="84">
        <v>34576</v>
      </c>
      <c r="AM14" s="84">
        <f t="shared" si="12"/>
        <v>2797</v>
      </c>
      <c r="AN14" s="84">
        <v>37373</v>
      </c>
      <c r="AO14" s="84">
        <v>548</v>
      </c>
      <c r="AP14" s="84">
        <f t="shared" si="13"/>
        <v>188</v>
      </c>
      <c r="AQ14" s="84">
        <v>736</v>
      </c>
      <c r="AR14" s="84">
        <v>3488</v>
      </c>
      <c r="AS14" s="84">
        <f t="shared" si="14"/>
        <v>913</v>
      </c>
      <c r="AT14" s="84">
        <v>4401</v>
      </c>
      <c r="AU14" s="84">
        <v>4910</v>
      </c>
      <c r="AV14" s="84">
        <f t="shared" si="15"/>
        <v>483</v>
      </c>
      <c r="AW14" s="84">
        <v>5393</v>
      </c>
      <c r="AX14" s="84"/>
      <c r="AY14" s="84">
        <f t="shared" si="16"/>
        <v>4</v>
      </c>
      <c r="AZ14" s="84">
        <v>4</v>
      </c>
      <c r="BA14" s="84"/>
      <c r="BB14" s="84">
        <f t="shared" si="17"/>
        <v>3</v>
      </c>
      <c r="BC14" s="84">
        <v>3</v>
      </c>
      <c r="BD14" s="84">
        <v>75051</v>
      </c>
      <c r="BE14" s="84">
        <f t="shared" si="18"/>
        <v>166664</v>
      </c>
      <c r="BF14" s="84">
        <v>241715</v>
      </c>
      <c r="BG14" s="84">
        <v>43</v>
      </c>
      <c r="BH14" s="84">
        <f t="shared" si="19"/>
        <v>7</v>
      </c>
      <c r="BI14" s="84">
        <v>50</v>
      </c>
      <c r="BJ14" s="84">
        <v>353</v>
      </c>
      <c r="BK14" s="84">
        <f t="shared" si="20"/>
        <v>134</v>
      </c>
      <c r="BL14" s="84">
        <v>487</v>
      </c>
      <c r="BM14" s="84">
        <v>50501</v>
      </c>
      <c r="BN14" s="84">
        <f t="shared" si="21"/>
        <v>14017</v>
      </c>
      <c r="BO14" s="84">
        <v>64518</v>
      </c>
      <c r="BP14" s="84"/>
      <c r="BQ14" s="84">
        <f t="shared" si="22"/>
        <v>0</v>
      </c>
      <c r="BR14" s="84"/>
      <c r="BS14" s="84">
        <v>17212</v>
      </c>
      <c r="BT14" s="84">
        <f t="shared" si="23"/>
        <v>3235</v>
      </c>
      <c r="BU14" s="84">
        <v>20447</v>
      </c>
      <c r="BV14" s="84">
        <f>2737+2504</f>
        <v>5241</v>
      </c>
      <c r="BW14" s="84">
        <f t="shared" si="24"/>
        <v>3562</v>
      </c>
      <c r="BX14" s="84">
        <f>3903+4900</f>
        <v>8803</v>
      </c>
      <c r="BY14" s="84">
        <v>35858</v>
      </c>
      <c r="BZ14" s="84">
        <f t="shared" si="25"/>
        <v>2918</v>
      </c>
      <c r="CA14" s="84">
        <v>38776</v>
      </c>
      <c r="CB14" s="84"/>
      <c r="CC14" s="84">
        <f t="shared" si="26"/>
        <v>315</v>
      </c>
      <c r="CD14" s="84">
        <v>315</v>
      </c>
      <c r="CE14" s="84">
        <v>15168</v>
      </c>
      <c r="CF14" s="84">
        <f t="shared" si="27"/>
        <v>4318</v>
      </c>
      <c r="CG14" s="84">
        <v>19486</v>
      </c>
      <c r="CH14" s="84">
        <v>137892</v>
      </c>
      <c r="CI14" s="84">
        <f t="shared" si="28"/>
        <v>21659</v>
      </c>
      <c r="CJ14" s="84">
        <v>159551</v>
      </c>
      <c r="CK14" s="84">
        <v>61013</v>
      </c>
      <c r="CL14" s="84">
        <f t="shared" si="29"/>
        <v>11648</v>
      </c>
      <c r="CM14" s="84">
        <v>72661</v>
      </c>
      <c r="CN14" s="84">
        <v>134474</v>
      </c>
      <c r="CO14" s="84">
        <f t="shared" si="30"/>
        <v>30193</v>
      </c>
      <c r="CP14" s="84">
        <v>164667</v>
      </c>
      <c r="CQ14" s="84">
        <v>6190</v>
      </c>
      <c r="CR14" s="84">
        <f t="shared" si="31"/>
        <v>496</v>
      </c>
      <c r="CS14" s="84">
        <v>6686</v>
      </c>
    </row>
  </sheetData>
  <mergeCells count="32">
    <mergeCell ref="AF3:AH3"/>
    <mergeCell ref="Q3:S3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BP3:BR3"/>
    <mergeCell ref="AI3:AK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CN3:CP3"/>
    <mergeCell ref="CQ3:CS3"/>
    <mergeCell ref="BS3:BU3"/>
    <mergeCell ref="BY3:CA3"/>
    <mergeCell ref="CB3:CD3"/>
    <mergeCell ref="CE3:CG3"/>
    <mergeCell ref="CH3:CJ3"/>
    <mergeCell ref="CK3:CM3"/>
    <mergeCell ref="BV3:BX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5" width="16" customWidth="1"/>
  </cols>
  <sheetData>
    <row r="1" spans="1:65" ht="18.75" x14ac:dyDescent="0.3">
      <c r="A1" s="16" t="s">
        <v>126</v>
      </c>
    </row>
    <row r="2" spans="1:65" x14ac:dyDescent="0.25">
      <c r="A2" s="1" t="s">
        <v>0</v>
      </c>
      <c r="B2" s="103" t="s">
        <v>1</v>
      </c>
      <c r="C2" s="104"/>
      <c r="D2" s="103" t="s">
        <v>282</v>
      </c>
      <c r="E2" s="104"/>
      <c r="F2" s="103" t="s">
        <v>2</v>
      </c>
      <c r="G2" s="104"/>
      <c r="H2" s="103" t="s">
        <v>3</v>
      </c>
      <c r="I2" s="104"/>
      <c r="J2" s="103" t="s">
        <v>4</v>
      </c>
      <c r="K2" s="104"/>
      <c r="L2" s="103" t="s">
        <v>283</v>
      </c>
      <c r="M2" s="104"/>
      <c r="N2" s="103" t="s">
        <v>6</v>
      </c>
      <c r="O2" s="104"/>
      <c r="P2" s="103" t="s">
        <v>5</v>
      </c>
      <c r="Q2" s="104"/>
      <c r="R2" s="103" t="s">
        <v>7</v>
      </c>
      <c r="S2" s="104"/>
      <c r="T2" s="103" t="s">
        <v>284</v>
      </c>
      <c r="U2" s="104"/>
      <c r="V2" s="103" t="s">
        <v>8</v>
      </c>
      <c r="W2" s="104"/>
      <c r="X2" s="103" t="s">
        <v>9</v>
      </c>
      <c r="Y2" s="104"/>
      <c r="Z2" s="103" t="s">
        <v>10</v>
      </c>
      <c r="AA2" s="104"/>
      <c r="AB2" s="103" t="s">
        <v>304</v>
      </c>
      <c r="AC2" s="104"/>
      <c r="AD2" s="103" t="s">
        <v>11</v>
      </c>
      <c r="AE2" s="104"/>
      <c r="AF2" s="103" t="s">
        <v>12</v>
      </c>
      <c r="AG2" s="104"/>
      <c r="AH2" s="103" t="s">
        <v>285</v>
      </c>
      <c r="AI2" s="104"/>
      <c r="AJ2" s="103" t="s">
        <v>290</v>
      </c>
      <c r="AK2" s="104"/>
      <c r="AL2" s="103" t="s">
        <v>13</v>
      </c>
      <c r="AM2" s="104"/>
      <c r="AN2" s="103" t="s">
        <v>286</v>
      </c>
      <c r="AO2" s="104"/>
      <c r="AP2" s="103" t="s">
        <v>287</v>
      </c>
      <c r="AQ2" s="104"/>
      <c r="AR2" s="103" t="s">
        <v>291</v>
      </c>
      <c r="AS2" s="104"/>
      <c r="AT2" s="103" t="s">
        <v>305</v>
      </c>
      <c r="AU2" s="104"/>
      <c r="AV2" s="103" t="s">
        <v>14</v>
      </c>
      <c r="AW2" s="104"/>
      <c r="AX2" s="103" t="s">
        <v>15</v>
      </c>
      <c r="AY2" s="104"/>
      <c r="AZ2" s="103" t="s">
        <v>16</v>
      </c>
      <c r="BA2" s="104"/>
      <c r="BB2" s="103" t="s">
        <v>17</v>
      </c>
      <c r="BC2" s="104"/>
      <c r="BD2" s="103" t="s">
        <v>18</v>
      </c>
      <c r="BE2" s="104"/>
      <c r="BF2" s="103" t="s">
        <v>288</v>
      </c>
      <c r="BG2" s="104"/>
      <c r="BH2" s="103" t="s">
        <v>289</v>
      </c>
      <c r="BI2" s="104"/>
      <c r="BJ2" s="103" t="s">
        <v>19</v>
      </c>
      <c r="BK2" s="104"/>
      <c r="BL2" s="103" t="s">
        <v>20</v>
      </c>
      <c r="BM2" s="104"/>
    </row>
    <row r="3" spans="1:65" ht="30" x14ac:dyDescent="0.25">
      <c r="A3" s="1"/>
      <c r="B3" s="57" t="s">
        <v>293</v>
      </c>
      <c r="C3" s="58" t="s">
        <v>294</v>
      </c>
      <c r="D3" s="57" t="s">
        <v>293</v>
      </c>
      <c r="E3" s="58" t="s">
        <v>294</v>
      </c>
      <c r="F3" s="57" t="s">
        <v>293</v>
      </c>
      <c r="G3" s="58" t="s">
        <v>294</v>
      </c>
      <c r="H3" s="57" t="s">
        <v>293</v>
      </c>
      <c r="I3" s="58" t="s">
        <v>294</v>
      </c>
      <c r="J3" s="57" t="s">
        <v>293</v>
      </c>
      <c r="K3" s="58" t="s">
        <v>294</v>
      </c>
      <c r="L3" s="57" t="s">
        <v>293</v>
      </c>
      <c r="M3" s="58" t="s">
        <v>294</v>
      </c>
      <c r="N3" s="57" t="s">
        <v>293</v>
      </c>
      <c r="O3" s="58" t="s">
        <v>294</v>
      </c>
      <c r="P3" s="57" t="s">
        <v>293</v>
      </c>
      <c r="Q3" s="58" t="s">
        <v>294</v>
      </c>
      <c r="R3" s="57" t="s">
        <v>293</v>
      </c>
      <c r="S3" s="58" t="s">
        <v>294</v>
      </c>
      <c r="T3" s="57" t="s">
        <v>293</v>
      </c>
      <c r="U3" s="58" t="s">
        <v>294</v>
      </c>
      <c r="V3" s="57" t="s">
        <v>293</v>
      </c>
      <c r="W3" s="58" t="s">
        <v>294</v>
      </c>
      <c r="X3" s="57" t="s">
        <v>293</v>
      </c>
      <c r="Y3" s="58" t="s">
        <v>294</v>
      </c>
      <c r="Z3" s="57" t="s">
        <v>293</v>
      </c>
      <c r="AA3" s="58" t="s">
        <v>294</v>
      </c>
      <c r="AB3" s="57" t="s">
        <v>293</v>
      </c>
      <c r="AC3" s="58" t="s">
        <v>294</v>
      </c>
      <c r="AD3" s="57" t="s">
        <v>293</v>
      </c>
      <c r="AE3" s="58" t="s">
        <v>294</v>
      </c>
      <c r="AF3" s="57" t="s">
        <v>293</v>
      </c>
      <c r="AG3" s="58" t="s">
        <v>294</v>
      </c>
      <c r="AH3" s="57" t="s">
        <v>293</v>
      </c>
      <c r="AI3" s="58" t="s">
        <v>294</v>
      </c>
      <c r="AJ3" s="57" t="s">
        <v>293</v>
      </c>
      <c r="AK3" s="58" t="s">
        <v>294</v>
      </c>
      <c r="AL3" s="57" t="s">
        <v>293</v>
      </c>
      <c r="AM3" s="58" t="s">
        <v>294</v>
      </c>
      <c r="AN3" s="57" t="s">
        <v>293</v>
      </c>
      <c r="AO3" s="58" t="s">
        <v>294</v>
      </c>
      <c r="AP3" s="57" t="s">
        <v>293</v>
      </c>
      <c r="AQ3" s="58" t="s">
        <v>294</v>
      </c>
      <c r="AR3" s="57" t="s">
        <v>293</v>
      </c>
      <c r="AS3" s="58" t="s">
        <v>294</v>
      </c>
      <c r="AT3" s="57" t="s">
        <v>293</v>
      </c>
      <c r="AU3" s="58" t="s">
        <v>294</v>
      </c>
      <c r="AV3" s="57" t="s">
        <v>293</v>
      </c>
      <c r="AW3" s="58" t="s">
        <v>294</v>
      </c>
      <c r="AX3" s="57" t="s">
        <v>293</v>
      </c>
      <c r="AY3" s="58" t="s">
        <v>294</v>
      </c>
      <c r="AZ3" s="57" t="s">
        <v>293</v>
      </c>
      <c r="BA3" s="58" t="s">
        <v>294</v>
      </c>
      <c r="BB3" s="57" t="s">
        <v>293</v>
      </c>
      <c r="BC3" s="58" t="s">
        <v>294</v>
      </c>
      <c r="BD3" s="57" t="s">
        <v>293</v>
      </c>
      <c r="BE3" s="58" t="s">
        <v>294</v>
      </c>
      <c r="BF3" s="57" t="s">
        <v>293</v>
      </c>
      <c r="BG3" s="58" t="s">
        <v>294</v>
      </c>
      <c r="BH3" s="57" t="s">
        <v>293</v>
      </c>
      <c r="BI3" s="58" t="s">
        <v>294</v>
      </c>
      <c r="BJ3" s="57" t="s">
        <v>293</v>
      </c>
      <c r="BK3" s="58" t="s">
        <v>294</v>
      </c>
      <c r="BL3" s="57" t="s">
        <v>293</v>
      </c>
      <c r="BM3" s="58" t="s">
        <v>294</v>
      </c>
    </row>
    <row r="4" spans="1:65" x14ac:dyDescent="0.25">
      <c r="A4" s="11" t="s">
        <v>127</v>
      </c>
      <c r="B4" s="37">
        <v>0.1235</v>
      </c>
      <c r="C4" s="37">
        <v>-6.4999999999999997E-3</v>
      </c>
      <c r="D4" s="65">
        <v>0.34</v>
      </c>
      <c r="E4" s="65">
        <v>0.56999999999999995</v>
      </c>
      <c r="F4" s="37">
        <v>0.2828</v>
      </c>
      <c r="G4" s="37">
        <v>0.1583</v>
      </c>
      <c r="H4" s="37">
        <v>0.111</v>
      </c>
      <c r="I4" s="39">
        <v>-3.4000000000000002E-2</v>
      </c>
      <c r="J4" s="36">
        <v>0.05</v>
      </c>
      <c r="K4" s="36">
        <v>0.01</v>
      </c>
      <c r="L4" s="37">
        <v>7.7299999999999994E-2</v>
      </c>
      <c r="M4" s="37">
        <v>-4.7199999999999999E-2</v>
      </c>
      <c r="N4" s="37">
        <v>-7.22E-2</v>
      </c>
      <c r="O4" s="37">
        <v>-0.11559999999999999</v>
      </c>
      <c r="P4" s="36">
        <v>0.5</v>
      </c>
      <c r="Q4" s="36">
        <v>0.68</v>
      </c>
      <c r="R4" s="36">
        <v>0.18</v>
      </c>
      <c r="S4" s="36">
        <v>0.15</v>
      </c>
      <c r="T4" s="37">
        <v>0.16689999999999999</v>
      </c>
      <c r="U4" s="37">
        <v>0.12909999999999999</v>
      </c>
      <c r="V4" s="37">
        <v>0.49349999999999999</v>
      </c>
      <c r="W4" s="37">
        <v>0.25929999999999997</v>
      </c>
      <c r="X4" s="65">
        <v>0.09</v>
      </c>
      <c r="Y4" s="36">
        <v>0.04</v>
      </c>
      <c r="Z4" s="37">
        <v>9.4E-2</v>
      </c>
      <c r="AA4" s="37">
        <v>3.8399999999999997E-2</v>
      </c>
      <c r="AB4" s="36">
        <v>0.2</v>
      </c>
      <c r="AC4" s="36">
        <v>0.25</v>
      </c>
      <c r="AD4" s="36">
        <v>-0.05</v>
      </c>
      <c r="AE4" s="36">
        <v>-7.0000000000000007E-2</v>
      </c>
      <c r="AF4" s="37">
        <v>2.3E-2</v>
      </c>
      <c r="AG4" s="39">
        <v>-3.7999999999999999E-2</v>
      </c>
      <c r="AH4" s="37">
        <v>0.22570000000000001</v>
      </c>
      <c r="AI4" s="37">
        <v>0.27189999999999998</v>
      </c>
      <c r="AJ4" s="36">
        <v>0.43</v>
      </c>
      <c r="AK4" s="36">
        <v>0.38</v>
      </c>
      <c r="AL4" s="37">
        <v>-1.5645890456630823E-2</v>
      </c>
      <c r="AM4" s="39">
        <v>-5.5600243414088903E-2</v>
      </c>
      <c r="AN4" s="36">
        <v>0.27</v>
      </c>
      <c r="AO4" s="36">
        <v>-0.46</v>
      </c>
      <c r="AP4" s="37">
        <v>1.5630999999999999</v>
      </c>
      <c r="AQ4" s="37">
        <v>0.89029999999999998</v>
      </c>
      <c r="AR4" s="65">
        <v>0.15</v>
      </c>
      <c r="AS4" s="65">
        <v>0.05</v>
      </c>
      <c r="AT4" s="18"/>
      <c r="AU4" s="37"/>
      <c r="AV4" s="67">
        <v>-0.17399999999999999</v>
      </c>
      <c r="AW4" s="65">
        <v>-0.26900000000000002</v>
      </c>
      <c r="AX4" s="37">
        <v>-4.3099999999999999E-2</v>
      </c>
      <c r="AY4" s="37">
        <v>8.8800000000000004E-2</v>
      </c>
      <c r="AZ4" s="37">
        <v>-0.1135</v>
      </c>
      <c r="BA4" s="37">
        <v>-0.13250000000000001</v>
      </c>
      <c r="BB4" s="37">
        <v>0.33350000000000002</v>
      </c>
      <c r="BC4" s="37">
        <v>0.40410000000000001</v>
      </c>
      <c r="BD4" s="36">
        <v>0.3</v>
      </c>
      <c r="BE4" s="36">
        <v>0.06</v>
      </c>
      <c r="BF4" s="87">
        <v>13.51</v>
      </c>
      <c r="BG4" s="87">
        <v>4.04</v>
      </c>
      <c r="BH4" s="87">
        <v>-8.98</v>
      </c>
      <c r="BI4" s="87">
        <v>-8.61</v>
      </c>
      <c r="BJ4" s="37">
        <v>-8.7900000000000006E-2</v>
      </c>
      <c r="BK4" s="37">
        <v>-5.11E-2</v>
      </c>
      <c r="BL4" s="37">
        <v>-0.26050000000000001</v>
      </c>
      <c r="BM4" s="37">
        <v>-5.5899999999999998E-2</v>
      </c>
    </row>
    <row r="5" spans="1:65" ht="15" customHeight="1" x14ac:dyDescent="0.25">
      <c r="A5" s="11" t="s">
        <v>128</v>
      </c>
      <c r="B5" s="31"/>
      <c r="C5" s="36"/>
      <c r="D5" s="65">
        <v>0.74</v>
      </c>
      <c r="E5" s="65">
        <v>2.0499999999999998</v>
      </c>
      <c r="F5" s="37"/>
      <c r="G5" s="37"/>
      <c r="H5" s="31">
        <v>0.48</v>
      </c>
      <c r="I5" s="31">
        <v>1.4</v>
      </c>
      <c r="J5" s="87">
        <v>1.0900000000000001</v>
      </c>
      <c r="K5" s="87">
        <v>3.02</v>
      </c>
      <c r="L5" s="31">
        <v>0.65</v>
      </c>
      <c r="M5" s="31">
        <v>1.69</v>
      </c>
      <c r="N5" s="31"/>
      <c r="O5" s="31"/>
      <c r="P5" s="31">
        <v>0.53</v>
      </c>
      <c r="Q5" s="31">
        <v>1.36</v>
      </c>
      <c r="R5" s="31"/>
      <c r="S5" s="31"/>
      <c r="T5" s="31"/>
      <c r="U5" s="31"/>
      <c r="V5" s="31">
        <v>2.86</v>
      </c>
      <c r="W5" s="31">
        <v>2.86</v>
      </c>
      <c r="X5" s="31">
        <v>0.56000000000000005</v>
      </c>
      <c r="Y5" s="31">
        <v>1.45</v>
      </c>
      <c r="Z5" s="31"/>
      <c r="AA5" s="31"/>
      <c r="AB5" s="31"/>
      <c r="AC5" s="31"/>
      <c r="AD5" s="87">
        <v>0.48</v>
      </c>
      <c r="AE5" s="31">
        <v>1.28</v>
      </c>
      <c r="AF5" s="31">
        <v>0.79</v>
      </c>
      <c r="AG5" s="31">
        <v>1.99</v>
      </c>
      <c r="AH5" s="31"/>
      <c r="AI5" s="31"/>
      <c r="AJ5" s="31"/>
      <c r="AK5" s="31"/>
      <c r="AL5" s="37"/>
      <c r="AM5" s="37"/>
      <c r="AN5" s="31"/>
      <c r="AO5" s="31"/>
      <c r="AP5" s="31">
        <v>0.47</v>
      </c>
      <c r="AQ5" s="31">
        <v>0.94</v>
      </c>
      <c r="AR5" s="31"/>
      <c r="AS5" s="31"/>
      <c r="AT5" s="31"/>
      <c r="AU5" s="31"/>
      <c r="AV5" s="31">
        <v>0.6</v>
      </c>
      <c r="AW5" s="31">
        <v>1.5</v>
      </c>
      <c r="AX5" s="31"/>
      <c r="AY5" s="31"/>
      <c r="AZ5" s="31"/>
      <c r="BA5" s="31"/>
      <c r="BB5" s="31">
        <v>0.65</v>
      </c>
      <c r="BC5" s="31">
        <v>1.84</v>
      </c>
      <c r="BD5" s="31"/>
      <c r="BE5" s="31"/>
      <c r="BF5" s="18"/>
      <c r="BG5" s="18"/>
      <c r="BH5" s="31"/>
      <c r="BI5" s="31"/>
      <c r="BJ5" s="37">
        <v>3.4626000000000001</v>
      </c>
      <c r="BK5" s="37">
        <v>3.0015999999999998</v>
      </c>
      <c r="BL5" s="37"/>
      <c r="BM5" s="37"/>
    </row>
    <row r="6" spans="1:65" ht="15" customHeight="1" x14ac:dyDescent="0.25">
      <c r="A6" s="11" t="s">
        <v>129</v>
      </c>
      <c r="B6" s="31">
        <v>1.1499999999999999</v>
      </c>
      <c r="C6" s="31">
        <v>2.5</v>
      </c>
      <c r="D6" s="65"/>
      <c r="E6" s="65"/>
      <c r="F6" s="39">
        <v>0.38479999999999998</v>
      </c>
      <c r="G6" s="39">
        <v>1.9790000000000001</v>
      </c>
      <c r="H6" s="31"/>
      <c r="I6" s="31"/>
      <c r="J6" s="31"/>
      <c r="K6" s="31"/>
      <c r="L6" s="37"/>
      <c r="M6" s="31"/>
      <c r="N6" s="87">
        <v>0.12</v>
      </c>
      <c r="O6" s="87">
        <v>0.12</v>
      </c>
      <c r="P6" s="36"/>
      <c r="Q6" s="36"/>
      <c r="R6" s="31">
        <v>1.06</v>
      </c>
      <c r="S6" s="31">
        <v>2.52</v>
      </c>
      <c r="T6" s="31">
        <v>0.6</v>
      </c>
      <c r="U6" s="31">
        <v>1.47</v>
      </c>
      <c r="V6" s="31"/>
      <c r="W6" s="31"/>
      <c r="X6" s="31"/>
      <c r="Y6" s="31"/>
      <c r="Z6" s="31"/>
      <c r="AA6" s="31">
        <v>2.29</v>
      </c>
      <c r="AB6" s="31">
        <v>0.72</v>
      </c>
      <c r="AC6" s="87">
        <v>1.85</v>
      </c>
      <c r="AD6" s="31"/>
      <c r="AE6" s="31"/>
      <c r="AF6" s="31"/>
      <c r="AG6" s="31"/>
      <c r="AH6" s="37">
        <v>0.66220000000000001</v>
      </c>
      <c r="AI6" s="37">
        <v>1.7566999999999999</v>
      </c>
      <c r="AJ6" s="78" t="s">
        <v>306</v>
      </c>
      <c r="AK6" s="78" t="s">
        <v>307</v>
      </c>
      <c r="AL6" s="37">
        <v>0.77814834969638069</v>
      </c>
      <c r="AM6" s="37">
        <v>18.251129195092695</v>
      </c>
      <c r="AN6" s="31">
        <v>0.13</v>
      </c>
      <c r="AO6" s="31">
        <v>0.28000000000000003</v>
      </c>
      <c r="AP6" s="31"/>
      <c r="AQ6" s="31"/>
      <c r="AR6" s="31">
        <v>0.89</v>
      </c>
      <c r="AS6" s="31">
        <v>3.12</v>
      </c>
      <c r="AT6" s="31">
        <v>0.65</v>
      </c>
      <c r="AU6" s="31">
        <v>1.84</v>
      </c>
      <c r="AV6" s="31"/>
      <c r="AW6" s="31"/>
      <c r="AX6" s="31">
        <v>0.63</v>
      </c>
      <c r="AY6" s="31">
        <v>2.02</v>
      </c>
      <c r="AZ6" s="37">
        <v>0.26450000000000001</v>
      </c>
      <c r="BA6" s="37">
        <v>0.75029999999999997</v>
      </c>
      <c r="BB6" s="31"/>
      <c r="BC6" s="31"/>
      <c r="BD6" s="31">
        <v>0.77</v>
      </c>
      <c r="BE6" s="31">
        <v>2.0699999999999998</v>
      </c>
      <c r="BF6" s="87">
        <v>0.43</v>
      </c>
      <c r="BG6" s="87">
        <v>1.31</v>
      </c>
      <c r="BH6" s="31">
        <v>2.4300000000000002</v>
      </c>
      <c r="BI6" s="31">
        <v>7.63</v>
      </c>
      <c r="BJ6" s="31"/>
      <c r="BK6" s="31"/>
      <c r="BL6" s="31">
        <v>0.74</v>
      </c>
      <c r="BM6" s="31">
        <v>1.96</v>
      </c>
    </row>
    <row r="7" spans="1:65" x14ac:dyDescent="0.25">
      <c r="A7" s="11" t="s">
        <v>130</v>
      </c>
      <c r="B7" s="36">
        <v>-0.25</v>
      </c>
      <c r="C7" s="36">
        <v>-0.25</v>
      </c>
      <c r="D7" s="65"/>
      <c r="E7" s="65"/>
      <c r="F7" s="39">
        <v>0.16750000000000001</v>
      </c>
      <c r="G7" s="39">
        <v>0.16750000000000001</v>
      </c>
      <c r="H7" s="36"/>
      <c r="I7" s="36"/>
      <c r="J7" s="36"/>
      <c r="K7" s="31"/>
      <c r="L7" s="31"/>
      <c r="M7" s="36"/>
      <c r="N7" s="37">
        <v>0.13370000000000001</v>
      </c>
      <c r="O7" s="37">
        <v>0.13370000000000001</v>
      </c>
      <c r="P7" s="36"/>
      <c r="Q7" s="37"/>
      <c r="R7" s="36">
        <v>0.15</v>
      </c>
      <c r="S7" s="36">
        <v>0.15</v>
      </c>
      <c r="T7" s="31"/>
      <c r="U7" s="37">
        <v>4.5999999999999999E-3</v>
      </c>
      <c r="V7" s="37"/>
      <c r="W7" s="37"/>
      <c r="X7" s="31"/>
      <c r="Y7" s="36"/>
      <c r="Z7" s="31"/>
      <c r="AA7" s="37">
        <v>0.152</v>
      </c>
      <c r="AB7" s="36">
        <v>0.19</v>
      </c>
      <c r="AC7" s="36">
        <v>0.19</v>
      </c>
      <c r="AD7" s="31">
        <v>0.23</v>
      </c>
      <c r="AE7" s="87">
        <v>0.23</v>
      </c>
      <c r="AF7" s="36"/>
      <c r="AG7" s="36"/>
      <c r="AH7" s="31"/>
      <c r="AI7" s="31"/>
      <c r="AJ7" s="36">
        <v>0.37</v>
      </c>
      <c r="AK7" s="36">
        <v>0.37</v>
      </c>
      <c r="AL7" s="39">
        <v>1.2891145066211311</v>
      </c>
      <c r="AM7" s="39">
        <v>1.2891145066211311</v>
      </c>
      <c r="AN7" s="36">
        <v>1.35</v>
      </c>
      <c r="AO7" s="36">
        <v>1.35</v>
      </c>
      <c r="AP7" s="31"/>
      <c r="AQ7" s="31"/>
      <c r="AR7" s="65">
        <v>0.1</v>
      </c>
      <c r="AS7" s="65">
        <v>0.1</v>
      </c>
      <c r="AT7" s="31">
        <v>0.73</v>
      </c>
      <c r="AU7" s="31">
        <v>0.73</v>
      </c>
      <c r="AV7" s="65"/>
      <c r="AW7" s="65"/>
      <c r="AX7" s="37">
        <v>0.25900000000000001</v>
      </c>
      <c r="AY7" s="37">
        <v>0.25900000000000001</v>
      </c>
      <c r="AZ7" s="37">
        <v>7.6899999999999996E-2</v>
      </c>
      <c r="BA7" s="37">
        <v>7.6899999999999996E-2</v>
      </c>
      <c r="BB7" s="31"/>
      <c r="BC7" s="31"/>
      <c r="BD7" s="36">
        <v>0.02</v>
      </c>
      <c r="BE7" s="36">
        <v>0.15</v>
      </c>
      <c r="BF7" s="37"/>
      <c r="BG7" s="37"/>
      <c r="BH7" s="31">
        <v>10.43</v>
      </c>
      <c r="BI7" s="31">
        <v>10.43</v>
      </c>
      <c r="BJ7" s="36"/>
      <c r="BK7" s="36"/>
      <c r="BL7" s="37">
        <v>0.1993</v>
      </c>
      <c r="BM7" s="37">
        <v>0.1993</v>
      </c>
    </row>
    <row r="8" spans="1:65" x14ac:dyDescent="0.25">
      <c r="A8" s="11" t="s">
        <v>131</v>
      </c>
      <c r="B8" s="31"/>
      <c r="C8" s="36"/>
      <c r="D8" s="65">
        <v>0.35</v>
      </c>
      <c r="E8" s="36">
        <v>0.35</v>
      </c>
      <c r="F8" s="37"/>
      <c r="G8" s="37"/>
      <c r="H8" s="37">
        <v>0.24099999999999999</v>
      </c>
      <c r="I8" s="37">
        <v>0.24099999999999999</v>
      </c>
      <c r="J8" s="36">
        <v>0.22</v>
      </c>
      <c r="K8" s="36">
        <v>0.22</v>
      </c>
      <c r="L8" s="37">
        <v>2.0899999999999998E-2</v>
      </c>
      <c r="M8" s="37">
        <v>0.19359999999999999</v>
      </c>
      <c r="N8" s="37"/>
      <c r="O8" s="37"/>
      <c r="P8" s="36">
        <v>0.08</v>
      </c>
      <c r="Q8" s="36">
        <v>-0.09</v>
      </c>
      <c r="R8" s="31"/>
      <c r="S8" s="31"/>
      <c r="T8" s="36"/>
      <c r="U8" s="65"/>
      <c r="V8" s="37">
        <v>0.34110000000000001</v>
      </c>
      <c r="W8" s="37">
        <v>0.34110000000000001</v>
      </c>
      <c r="X8" s="36">
        <v>0.18</v>
      </c>
      <c r="Y8" s="36">
        <v>0.18</v>
      </c>
      <c r="Z8" s="37"/>
      <c r="AA8" s="37"/>
      <c r="AB8" s="36"/>
      <c r="AC8" s="36"/>
      <c r="AD8" s="36"/>
      <c r="AE8" s="31"/>
      <c r="AF8" s="77">
        <v>0.216</v>
      </c>
      <c r="AG8" s="77">
        <v>0.216</v>
      </c>
      <c r="AH8" s="37">
        <v>0.96930000000000005</v>
      </c>
      <c r="AI8" s="37">
        <v>0.96930000000000005</v>
      </c>
      <c r="AJ8" s="37"/>
      <c r="AK8" s="37"/>
      <c r="AL8" s="37"/>
      <c r="AM8" s="37"/>
      <c r="AN8" s="36"/>
      <c r="AO8" s="36"/>
      <c r="AP8" s="37">
        <v>9.1899999999999996E-2</v>
      </c>
      <c r="AQ8" s="37">
        <v>9.1899999999999996E-2</v>
      </c>
      <c r="AR8" s="65"/>
      <c r="AS8" s="65"/>
      <c r="AT8" s="37"/>
      <c r="AU8" s="37"/>
      <c r="AV8" s="37">
        <v>0.17100000000000001</v>
      </c>
      <c r="AW8" s="37">
        <v>0.17599999999999999</v>
      </c>
      <c r="AX8" s="31"/>
      <c r="AY8" s="31"/>
      <c r="AZ8" s="31"/>
      <c r="BA8" s="31"/>
      <c r="BB8" s="37">
        <v>1.2829999999999999</v>
      </c>
      <c r="BC8" s="37">
        <v>1.2829999999999999</v>
      </c>
      <c r="BD8" s="31"/>
      <c r="BE8" s="31"/>
      <c r="BF8" s="31">
        <v>2.2400000000000002</v>
      </c>
      <c r="BG8" s="31">
        <v>2.2400000000000002</v>
      </c>
      <c r="BH8" s="36"/>
      <c r="BI8" s="36"/>
      <c r="BJ8" s="37">
        <v>-5.5023</v>
      </c>
      <c r="BK8" s="37">
        <v>1.4974000000000001</v>
      </c>
      <c r="BL8" s="37"/>
      <c r="BM8" s="37"/>
    </row>
    <row r="9" spans="1:65" x14ac:dyDescent="0.25">
      <c r="A9" s="11" t="s">
        <v>132</v>
      </c>
      <c r="B9" s="37">
        <v>0.4819</v>
      </c>
      <c r="C9" s="37">
        <v>0.49380000000000002</v>
      </c>
      <c r="D9" s="65">
        <v>0.78</v>
      </c>
      <c r="E9" s="36">
        <v>0.76</v>
      </c>
      <c r="F9" s="37">
        <v>0.54279999999999995</v>
      </c>
      <c r="G9" s="37">
        <v>0.51190000000000002</v>
      </c>
      <c r="H9" s="37">
        <v>0.58799999999999997</v>
      </c>
      <c r="I9" s="37">
        <v>0.55400000000000005</v>
      </c>
      <c r="J9" s="36">
        <v>0.67</v>
      </c>
      <c r="K9" s="36">
        <v>0.57999999999999996</v>
      </c>
      <c r="L9" s="37">
        <v>0.7792</v>
      </c>
      <c r="M9" s="37">
        <v>0.76090000000000002</v>
      </c>
      <c r="N9" s="37">
        <v>0.83069999999999999</v>
      </c>
      <c r="O9" s="37">
        <v>0.79600000000000004</v>
      </c>
      <c r="P9" s="36">
        <v>0.86</v>
      </c>
      <c r="Q9" s="36">
        <v>0.84</v>
      </c>
      <c r="R9" s="36">
        <v>0.54</v>
      </c>
      <c r="S9" s="36">
        <v>0.56000000000000005</v>
      </c>
      <c r="T9" s="37">
        <v>0.81820000000000004</v>
      </c>
      <c r="U9" s="37">
        <v>0.77349999999999997</v>
      </c>
      <c r="V9" s="37">
        <v>0.57230000000000003</v>
      </c>
      <c r="W9" s="39">
        <v>0.51070000000000004</v>
      </c>
      <c r="X9" s="36">
        <v>0.78</v>
      </c>
      <c r="Y9" s="36">
        <v>0.74</v>
      </c>
      <c r="Z9" s="37">
        <v>0.56979999999999997</v>
      </c>
      <c r="AA9" s="37">
        <v>0.59140000000000004</v>
      </c>
      <c r="AB9" s="36">
        <v>0.87</v>
      </c>
      <c r="AC9" s="36">
        <v>0.88</v>
      </c>
      <c r="AD9" s="36">
        <v>0.89</v>
      </c>
      <c r="AE9" s="36">
        <v>0.82</v>
      </c>
      <c r="AF9" s="77">
        <v>0.63100000000000001</v>
      </c>
      <c r="AG9" s="77">
        <v>0.61599999999999999</v>
      </c>
      <c r="AH9" s="37">
        <v>0.94799999999999995</v>
      </c>
      <c r="AI9" s="37">
        <v>0.94810000000000005</v>
      </c>
      <c r="AJ9" s="36">
        <v>0.78</v>
      </c>
      <c r="AK9" s="36">
        <v>0.77</v>
      </c>
      <c r="AL9" s="39">
        <v>0.84218458131389629</v>
      </c>
      <c r="AM9" s="39">
        <v>0.87304890909416399</v>
      </c>
      <c r="AN9" s="36">
        <v>0.84</v>
      </c>
      <c r="AO9" s="36">
        <v>0.85</v>
      </c>
      <c r="AP9" s="37">
        <v>0.84930000000000005</v>
      </c>
      <c r="AQ9" s="37">
        <v>0.80830000000000002</v>
      </c>
      <c r="AR9" s="65">
        <v>0.55000000000000004</v>
      </c>
      <c r="AS9" s="65">
        <v>0.49</v>
      </c>
      <c r="AT9" s="87">
        <v>0.77</v>
      </c>
      <c r="AU9" s="87">
        <v>0.76</v>
      </c>
      <c r="AV9" s="39">
        <v>0.77800000000000002</v>
      </c>
      <c r="AW9" s="39">
        <v>0.72799999999999998</v>
      </c>
      <c r="AX9" s="37">
        <v>0.4929</v>
      </c>
      <c r="AY9" s="37">
        <v>0.47949999999999998</v>
      </c>
      <c r="AZ9" s="37">
        <v>0.9254</v>
      </c>
      <c r="BA9" s="37">
        <v>0.92800000000000005</v>
      </c>
      <c r="BB9" s="37">
        <v>0.747</v>
      </c>
      <c r="BC9" s="37">
        <v>0.74409999999999998</v>
      </c>
      <c r="BD9" s="36">
        <v>0.74</v>
      </c>
      <c r="BE9" s="36">
        <v>0.68</v>
      </c>
      <c r="BF9" s="87">
        <v>81.05</v>
      </c>
      <c r="BG9" s="87">
        <v>82.06</v>
      </c>
      <c r="BH9" s="31">
        <v>83.95</v>
      </c>
      <c r="BI9" s="31">
        <v>82.64</v>
      </c>
      <c r="BJ9" s="36">
        <v>0.87</v>
      </c>
      <c r="BK9" s="37">
        <v>0.82720000000000005</v>
      </c>
      <c r="BL9" s="37">
        <v>0.46879999999999999</v>
      </c>
      <c r="BM9" s="37">
        <v>0.48199999999999998</v>
      </c>
    </row>
    <row r="10" spans="1:65" x14ac:dyDescent="0.25">
      <c r="A10" s="11" t="s">
        <v>133</v>
      </c>
      <c r="B10" s="37">
        <v>-2.2499999999999999E-2</v>
      </c>
      <c r="C10" s="37">
        <v>-5.5E-2</v>
      </c>
      <c r="D10" s="65">
        <v>0.08</v>
      </c>
      <c r="E10" s="36">
        <v>7.0000000000000007E-2</v>
      </c>
      <c r="F10" s="37">
        <v>-1.14E-2</v>
      </c>
      <c r="G10" s="37">
        <v>-2.98E-2</v>
      </c>
      <c r="H10" s="37">
        <v>1.4999999999999999E-2</v>
      </c>
      <c r="I10" s="37">
        <v>-4.0000000000000001E-3</v>
      </c>
      <c r="J10" s="36">
        <v>0.06</v>
      </c>
      <c r="K10" s="36">
        <v>0.05</v>
      </c>
      <c r="L10" s="37">
        <v>1.29E-2</v>
      </c>
      <c r="M10" s="37">
        <v>1.12E-2</v>
      </c>
      <c r="N10" s="37">
        <v>-2.46E-2</v>
      </c>
      <c r="O10" s="37">
        <v>-2.98E-2</v>
      </c>
      <c r="P10" s="36">
        <v>7.0000000000000007E-2</v>
      </c>
      <c r="Q10" s="36">
        <v>0.08</v>
      </c>
      <c r="R10" s="36">
        <v>0.02</v>
      </c>
      <c r="S10" s="36">
        <v>0.03</v>
      </c>
      <c r="T10" s="37">
        <v>2.9000000000000001E-2</v>
      </c>
      <c r="U10" s="37">
        <v>3.0700000000000002E-2</v>
      </c>
      <c r="V10" s="37">
        <v>-2.5399999999999999E-2</v>
      </c>
      <c r="W10" s="39">
        <v>-0.03</v>
      </c>
      <c r="X10" s="36">
        <v>7.0000000000000007E-2</v>
      </c>
      <c r="Y10" s="36">
        <v>0.06</v>
      </c>
      <c r="Z10" s="37">
        <v>2.4899999999999999E-2</v>
      </c>
      <c r="AA10" s="37">
        <v>4.0099999999999997E-2</v>
      </c>
      <c r="AB10" s="36">
        <v>0.06</v>
      </c>
      <c r="AC10" s="36">
        <v>0.06</v>
      </c>
      <c r="AD10" s="36">
        <v>0.11</v>
      </c>
      <c r="AE10" s="36">
        <v>0.1</v>
      </c>
      <c r="AF10" s="77">
        <v>-5.5E-2</v>
      </c>
      <c r="AG10" s="77">
        <v>-6.8000000000000005E-2</v>
      </c>
      <c r="AH10" s="37">
        <v>0.1095</v>
      </c>
      <c r="AI10" s="37">
        <v>0.11409999999999999</v>
      </c>
      <c r="AJ10" s="36">
        <v>0.05</v>
      </c>
      <c r="AK10" s="36">
        <v>0.04</v>
      </c>
      <c r="AL10" s="39">
        <v>0.19930795145908792</v>
      </c>
      <c r="AM10" s="39">
        <v>6.7333067766174232E-2</v>
      </c>
      <c r="AN10" s="36">
        <v>0.05</v>
      </c>
      <c r="AO10" s="36">
        <v>0.06</v>
      </c>
      <c r="AP10" s="37">
        <v>0.13980000000000001</v>
      </c>
      <c r="AQ10" s="37">
        <v>0.13789999999999999</v>
      </c>
      <c r="AR10" s="65">
        <v>-0.08</v>
      </c>
      <c r="AS10" s="65">
        <v>-0.04</v>
      </c>
      <c r="AT10" s="87">
        <v>0.04</v>
      </c>
      <c r="AU10" s="87">
        <v>0.01</v>
      </c>
      <c r="AV10" s="39">
        <v>6.0999999999999999E-2</v>
      </c>
      <c r="AW10" s="39">
        <v>6.5000000000000002E-2</v>
      </c>
      <c r="AX10" s="37">
        <v>-3.1699999999999999E-2</v>
      </c>
      <c r="AY10" s="37">
        <v>-5.9700000000000003E-2</v>
      </c>
      <c r="AZ10" s="37">
        <v>5.4600000000000003E-2</v>
      </c>
      <c r="BA10" s="37">
        <v>5.57E-2</v>
      </c>
      <c r="BB10" s="37">
        <v>0.1055</v>
      </c>
      <c r="BC10" s="37">
        <v>0.1038</v>
      </c>
      <c r="BD10" s="36">
        <v>0.06</v>
      </c>
      <c r="BE10" s="36">
        <v>0.04</v>
      </c>
      <c r="BF10" s="87">
        <v>9.91</v>
      </c>
      <c r="BG10" s="87">
        <v>9.3699999999999992</v>
      </c>
      <c r="BH10" s="31">
        <v>9.35</v>
      </c>
      <c r="BI10" s="31">
        <v>7.59</v>
      </c>
      <c r="BJ10" s="37">
        <v>6.2700000000000006E-2</v>
      </c>
      <c r="BK10" s="37">
        <v>6.3600000000000004E-2</v>
      </c>
      <c r="BL10" s="37">
        <v>4.8500000000000001E-2</v>
      </c>
      <c r="BM10" s="37">
        <v>3.4799999999999998E-2</v>
      </c>
    </row>
    <row r="11" spans="1:65" ht="30" x14ac:dyDescent="0.25">
      <c r="A11" s="11" t="s">
        <v>134</v>
      </c>
      <c r="B11" s="37">
        <v>0.64159999999999995</v>
      </c>
      <c r="C11" s="37">
        <v>0.58930000000000005</v>
      </c>
      <c r="D11" s="65">
        <v>0.64</v>
      </c>
      <c r="E11" s="36">
        <v>0.66</v>
      </c>
      <c r="F11" s="37">
        <v>3.3700000000000001E-2</v>
      </c>
      <c r="G11" s="37">
        <v>2.5999999999999999E-2</v>
      </c>
      <c r="H11" s="37">
        <v>0.22900000000000001</v>
      </c>
      <c r="I11" s="37">
        <v>0.21099999999999999</v>
      </c>
      <c r="J11" s="36">
        <v>0.35</v>
      </c>
      <c r="K11" s="36">
        <v>0.31</v>
      </c>
      <c r="L11" s="37">
        <v>0.3352</v>
      </c>
      <c r="M11" s="37">
        <v>0.33250000000000002</v>
      </c>
      <c r="N11" s="37">
        <v>0.26450000000000001</v>
      </c>
      <c r="O11" s="37">
        <v>0.26090000000000002</v>
      </c>
      <c r="P11" s="36">
        <v>0.5</v>
      </c>
      <c r="Q11" s="36">
        <v>0.61</v>
      </c>
      <c r="R11" s="36">
        <v>0.26</v>
      </c>
      <c r="S11" s="36">
        <v>0.28000000000000003</v>
      </c>
      <c r="T11" s="37">
        <v>0.37930000000000003</v>
      </c>
      <c r="U11" s="37">
        <v>0.37219999999999998</v>
      </c>
      <c r="V11" s="39">
        <v>0.28789999999999999</v>
      </c>
      <c r="W11" s="39">
        <v>0.24379999999999999</v>
      </c>
      <c r="X11" s="36">
        <v>0.28999999999999998</v>
      </c>
      <c r="Y11" s="36">
        <v>0.28000000000000003</v>
      </c>
      <c r="Z11" s="37">
        <v>0.16739999999999999</v>
      </c>
      <c r="AA11" s="37">
        <v>0.15579999999999999</v>
      </c>
      <c r="AB11" s="36">
        <v>0.35</v>
      </c>
      <c r="AC11" s="36">
        <v>0.38</v>
      </c>
      <c r="AD11" s="36">
        <v>0.5</v>
      </c>
      <c r="AE11" s="36">
        <v>0.47</v>
      </c>
      <c r="AF11" s="77">
        <v>0.36899999999999999</v>
      </c>
      <c r="AG11" s="77">
        <v>0.374</v>
      </c>
      <c r="AH11" s="37">
        <v>0.59489999999999998</v>
      </c>
      <c r="AI11" s="37">
        <v>0.57909999999999995</v>
      </c>
      <c r="AJ11" s="36">
        <v>0.44</v>
      </c>
      <c r="AK11" s="36">
        <v>0.44</v>
      </c>
      <c r="AL11" s="37">
        <v>0.29211761330587155</v>
      </c>
      <c r="AM11" s="37">
        <v>0.29633342450912387</v>
      </c>
      <c r="AN11" s="36">
        <v>0.76</v>
      </c>
      <c r="AO11" s="36">
        <v>0.99</v>
      </c>
      <c r="AP11" s="37">
        <v>0.50170000000000003</v>
      </c>
      <c r="AQ11" s="37">
        <v>0.55589999999999995</v>
      </c>
      <c r="AR11" s="65">
        <v>0.28999999999999998</v>
      </c>
      <c r="AS11" s="65">
        <v>0.23</v>
      </c>
      <c r="AT11" s="87">
        <v>0.43</v>
      </c>
      <c r="AU11" s="87">
        <v>0.42</v>
      </c>
      <c r="AV11" s="39">
        <v>0.27400000000000002</v>
      </c>
      <c r="AW11" s="39">
        <v>0.27700000000000002</v>
      </c>
      <c r="AX11" s="37">
        <v>0.25330000000000003</v>
      </c>
      <c r="AY11" s="37">
        <v>0.20419999999999999</v>
      </c>
      <c r="AZ11" s="37">
        <v>0.2581</v>
      </c>
      <c r="BA11" s="37">
        <v>0.23910000000000001</v>
      </c>
      <c r="BB11" s="37">
        <v>0.3024</v>
      </c>
      <c r="BC11" s="37">
        <v>0.2964</v>
      </c>
      <c r="BD11" s="36">
        <v>0.32</v>
      </c>
      <c r="BE11" s="36">
        <v>0.31</v>
      </c>
      <c r="BF11" s="87">
        <v>26.42</v>
      </c>
      <c r="BG11" s="87">
        <v>26.57</v>
      </c>
      <c r="BH11" s="31">
        <v>35.07</v>
      </c>
      <c r="BI11" s="31">
        <v>31.78</v>
      </c>
      <c r="BJ11" s="37">
        <v>0.28860000000000002</v>
      </c>
      <c r="BK11" s="37">
        <v>0.28449999999999998</v>
      </c>
      <c r="BL11" s="37">
        <v>0.1216</v>
      </c>
      <c r="BM11" s="37">
        <v>0.1293</v>
      </c>
    </row>
    <row r="12" spans="1:65" ht="30" x14ac:dyDescent="0.25">
      <c r="A12" s="11" t="s">
        <v>135</v>
      </c>
      <c r="B12" s="37">
        <v>1.3313999999999999</v>
      </c>
      <c r="C12" s="37">
        <v>1.1933</v>
      </c>
      <c r="D12" s="65"/>
      <c r="E12" s="36"/>
      <c r="F12" s="37">
        <v>6.2199999999999998E-2</v>
      </c>
      <c r="G12" s="37">
        <v>5.0700000000000002E-2</v>
      </c>
      <c r="H12" s="37">
        <v>0.38800000000000001</v>
      </c>
      <c r="I12" s="37">
        <v>0.379</v>
      </c>
      <c r="J12" s="36">
        <v>0.53</v>
      </c>
      <c r="K12" s="36">
        <v>0.52</v>
      </c>
      <c r="L12" s="36"/>
      <c r="M12" s="36"/>
      <c r="N12" s="37">
        <v>0.31840000000000002</v>
      </c>
      <c r="O12" s="37">
        <v>0.32779999999999998</v>
      </c>
      <c r="P12" s="36">
        <v>0.56999999999999995</v>
      </c>
      <c r="Q12" s="37">
        <v>0.7</v>
      </c>
      <c r="R12" s="36">
        <v>0.48</v>
      </c>
      <c r="S12" s="36">
        <v>0.48</v>
      </c>
      <c r="T12" s="37">
        <v>0.34670000000000001</v>
      </c>
      <c r="U12" s="37">
        <v>0.35820000000000002</v>
      </c>
      <c r="V12" s="39">
        <v>0.49780000000000002</v>
      </c>
      <c r="W12" s="39">
        <v>0.47070000000000001</v>
      </c>
      <c r="X12" s="36">
        <v>0.37</v>
      </c>
      <c r="Y12" s="36">
        <v>0.38</v>
      </c>
      <c r="Z12" s="37">
        <v>0.28870000000000001</v>
      </c>
      <c r="AA12" s="37">
        <v>0.25919999999999999</v>
      </c>
      <c r="AB12" s="36">
        <v>0.4</v>
      </c>
      <c r="AC12" s="36">
        <v>0.43</v>
      </c>
      <c r="AD12" s="36">
        <v>0.55000000000000004</v>
      </c>
      <c r="AE12" s="36">
        <v>0.56000000000000005</v>
      </c>
      <c r="AF12" s="77">
        <v>0.55300000000000005</v>
      </c>
      <c r="AG12" s="77">
        <v>0.56799999999999995</v>
      </c>
      <c r="AH12" s="36"/>
      <c r="AI12" s="36"/>
      <c r="AJ12" s="36">
        <v>0.56000000000000005</v>
      </c>
      <c r="AK12" s="36">
        <v>0.56999999999999995</v>
      </c>
      <c r="AL12" s="37">
        <v>0.3423992799336012</v>
      </c>
      <c r="AM12" s="37">
        <v>0.33472807757577988</v>
      </c>
      <c r="AN12" s="36">
        <v>0.9</v>
      </c>
      <c r="AO12" s="36">
        <v>1.1599999999999999</v>
      </c>
      <c r="AP12" s="37">
        <v>0.56040000000000001</v>
      </c>
      <c r="AQ12" s="37">
        <v>0.64339999999999997</v>
      </c>
      <c r="AR12" s="65">
        <v>0.52</v>
      </c>
      <c r="AS12" s="65">
        <v>0.46</v>
      </c>
      <c r="AT12" s="87">
        <v>0.55000000000000004</v>
      </c>
      <c r="AU12" s="87">
        <v>0.55000000000000004</v>
      </c>
      <c r="AV12" s="39">
        <v>0.34699999999999998</v>
      </c>
      <c r="AW12" s="39">
        <v>0.371</v>
      </c>
      <c r="AX12" s="37">
        <v>0.51259999999999994</v>
      </c>
      <c r="AY12" s="37">
        <v>0.4224</v>
      </c>
      <c r="AZ12" s="37">
        <v>0.27829999999999999</v>
      </c>
      <c r="BA12" s="37">
        <v>0.25679999999999997</v>
      </c>
      <c r="BB12" s="37">
        <v>0.31909999999999999</v>
      </c>
      <c r="BC12" s="37">
        <v>0.31209999999999999</v>
      </c>
      <c r="BD12" s="36">
        <v>0.42</v>
      </c>
      <c r="BE12" s="36">
        <v>0.44</v>
      </c>
      <c r="BF12" s="87">
        <v>31.47</v>
      </c>
      <c r="BG12" s="87">
        <v>30.96</v>
      </c>
      <c r="BH12" s="31">
        <v>40.18</v>
      </c>
      <c r="BI12" s="31">
        <v>37.44</v>
      </c>
      <c r="BJ12" s="36"/>
      <c r="BK12" s="36"/>
      <c r="BL12" s="37">
        <v>0.25890000000000002</v>
      </c>
      <c r="BM12" s="37">
        <v>0.26790000000000003</v>
      </c>
    </row>
    <row r="13" spans="1:65" ht="15" customHeight="1" x14ac:dyDescent="0.25">
      <c r="A13" s="11" t="s">
        <v>136</v>
      </c>
      <c r="B13" s="37">
        <v>0.95740000000000003</v>
      </c>
      <c r="C13" s="37">
        <v>0.79949999999999999</v>
      </c>
      <c r="D13" s="65"/>
      <c r="E13" s="36"/>
      <c r="F13" s="37">
        <v>1.0345</v>
      </c>
      <c r="G13" s="37">
        <v>0.93500000000000005</v>
      </c>
      <c r="H13" s="37">
        <v>0.66600000000000004</v>
      </c>
      <c r="I13" s="37">
        <v>0.69799999999999995</v>
      </c>
      <c r="J13" s="36">
        <v>0.66</v>
      </c>
      <c r="K13" s="36">
        <v>0.66</v>
      </c>
      <c r="L13" s="36"/>
      <c r="M13" s="36"/>
      <c r="N13" s="37">
        <v>-0.1137</v>
      </c>
      <c r="O13" s="37">
        <v>1.1692</v>
      </c>
      <c r="P13" s="36">
        <v>1.1499999999999999</v>
      </c>
      <c r="Q13" s="37">
        <v>1.04</v>
      </c>
      <c r="R13" s="36">
        <v>0.7</v>
      </c>
      <c r="S13" s="36">
        <v>0.68</v>
      </c>
      <c r="T13" s="37">
        <v>0.755</v>
      </c>
      <c r="U13" s="37">
        <v>0.72399999999999998</v>
      </c>
      <c r="V13" s="39">
        <v>0.76680000000000004</v>
      </c>
      <c r="W13" s="39">
        <v>0.75739999999999996</v>
      </c>
      <c r="X13" s="36">
        <v>0.66</v>
      </c>
      <c r="Y13" s="36">
        <v>0.68</v>
      </c>
      <c r="Z13" s="37">
        <v>0.88590000000000002</v>
      </c>
      <c r="AA13" s="37">
        <v>0.84389999999999998</v>
      </c>
      <c r="AB13" s="36">
        <v>0.72</v>
      </c>
      <c r="AC13" s="36">
        <v>0.65</v>
      </c>
      <c r="AD13" s="36">
        <v>0.78</v>
      </c>
      <c r="AE13" s="36">
        <v>0.62</v>
      </c>
      <c r="AF13" s="77">
        <v>0.77500000000000002</v>
      </c>
      <c r="AG13" s="77">
        <v>0.80100000000000005</v>
      </c>
      <c r="AH13" s="36"/>
      <c r="AI13" s="36"/>
      <c r="AJ13" s="36">
        <v>0.68</v>
      </c>
      <c r="AK13" s="36">
        <v>0.6</v>
      </c>
      <c r="AL13" s="37">
        <v>1.0467964195180717</v>
      </c>
      <c r="AM13" s="37">
        <v>0.82548767021433944</v>
      </c>
      <c r="AN13" s="36">
        <v>0.64</v>
      </c>
      <c r="AO13" s="36">
        <v>0.64</v>
      </c>
      <c r="AP13" s="37">
        <v>0.80479999999999996</v>
      </c>
      <c r="AQ13" s="37">
        <v>0.86699999999999999</v>
      </c>
      <c r="AR13" s="65">
        <v>0.86</v>
      </c>
      <c r="AS13" s="65">
        <v>0.81</v>
      </c>
      <c r="AT13" s="87">
        <v>0.63</v>
      </c>
      <c r="AU13" s="87">
        <v>0.61</v>
      </c>
      <c r="AV13" s="39">
        <v>0.874</v>
      </c>
      <c r="AW13" s="39">
        <v>0.77600000000000002</v>
      </c>
      <c r="AX13" s="37">
        <v>0.74050000000000005</v>
      </c>
      <c r="AY13" s="37">
        <v>0.77270000000000005</v>
      </c>
      <c r="AZ13" s="37">
        <v>0.7984</v>
      </c>
      <c r="BA13" s="37">
        <v>0.7984</v>
      </c>
      <c r="BB13" s="37">
        <v>0.94730000000000003</v>
      </c>
      <c r="BC13" s="37">
        <v>0.75180000000000002</v>
      </c>
      <c r="BD13" s="36">
        <v>0.7</v>
      </c>
      <c r="BE13" s="36">
        <v>0.7</v>
      </c>
      <c r="BF13" s="87">
        <v>86.24</v>
      </c>
      <c r="BG13" s="87">
        <v>79.349999999999994</v>
      </c>
      <c r="BH13" s="31">
        <v>112.08</v>
      </c>
      <c r="BI13" s="31">
        <v>93.32</v>
      </c>
      <c r="BJ13" s="36"/>
      <c r="BK13" s="36"/>
      <c r="BL13" s="37">
        <v>0.81940000000000002</v>
      </c>
      <c r="BM13" s="37">
        <v>0.81410000000000005</v>
      </c>
    </row>
    <row r="14" spans="1:65" ht="15" customHeight="1" x14ac:dyDescent="0.25">
      <c r="A14" s="11" t="s">
        <v>137</v>
      </c>
      <c r="B14" s="37">
        <v>2.2330000000000001</v>
      </c>
      <c r="C14" s="37">
        <v>1.9019999999999999</v>
      </c>
      <c r="D14" s="65">
        <v>1.24</v>
      </c>
      <c r="E14" s="36">
        <v>1.26</v>
      </c>
      <c r="F14" s="37">
        <v>1.0661</v>
      </c>
      <c r="G14" s="37">
        <v>0.9496</v>
      </c>
      <c r="H14" s="37">
        <v>0.96099999999999997</v>
      </c>
      <c r="I14" s="37">
        <v>0.96799999999999997</v>
      </c>
      <c r="J14" s="36">
        <v>1.1299999999999999</v>
      </c>
      <c r="K14" s="36">
        <v>1.1100000000000001</v>
      </c>
      <c r="L14" s="37">
        <v>1.1618999999999999</v>
      </c>
      <c r="M14" s="37">
        <v>1.0713999999999999</v>
      </c>
      <c r="N14" s="37">
        <v>0.17130000000000001</v>
      </c>
      <c r="O14" s="37">
        <v>1.4598</v>
      </c>
      <c r="P14" s="36">
        <v>1.69</v>
      </c>
      <c r="Q14" s="36">
        <v>1.72</v>
      </c>
      <c r="R14" s="36">
        <v>1.1000000000000001</v>
      </c>
      <c r="S14" s="36">
        <v>1.1000000000000001</v>
      </c>
      <c r="T14" s="37">
        <v>1.0913999999999999</v>
      </c>
      <c r="U14" s="37">
        <v>1.0661</v>
      </c>
      <c r="V14" s="39">
        <v>0.97929999999999995</v>
      </c>
      <c r="W14" s="39">
        <v>1.0369999999999999</v>
      </c>
      <c r="X14" s="36">
        <v>0.98</v>
      </c>
      <c r="Y14" s="36">
        <v>0.99</v>
      </c>
      <c r="Z14" s="37">
        <v>1.0765</v>
      </c>
      <c r="AA14" s="37">
        <v>1.0248999999999999</v>
      </c>
      <c r="AB14" s="36">
        <v>1.0900000000000001</v>
      </c>
      <c r="AC14" s="36">
        <v>1.05</v>
      </c>
      <c r="AD14" s="36">
        <v>1.32</v>
      </c>
      <c r="AE14" s="36">
        <v>1.1599999999999999</v>
      </c>
      <c r="AF14" s="77">
        <v>1.177</v>
      </c>
      <c r="AG14" s="77">
        <v>1.204</v>
      </c>
      <c r="AH14" s="37">
        <v>1.2427999999999999</v>
      </c>
      <c r="AI14" s="37">
        <v>1.1819</v>
      </c>
      <c r="AJ14" s="36">
        <v>1.1299999999999999</v>
      </c>
      <c r="AK14" s="36">
        <v>1.05</v>
      </c>
      <c r="AL14" s="37">
        <v>1.3776286602829613</v>
      </c>
      <c r="AM14" s="37">
        <v>1.1505311215235712</v>
      </c>
      <c r="AN14" s="36">
        <v>1.47</v>
      </c>
      <c r="AO14" s="36">
        <v>1.76</v>
      </c>
      <c r="AP14" s="37">
        <v>1.3587</v>
      </c>
      <c r="AQ14" s="37">
        <v>1.4993000000000001</v>
      </c>
      <c r="AR14" s="65">
        <v>1.19</v>
      </c>
      <c r="AS14" s="65">
        <v>1.1399999999999999</v>
      </c>
      <c r="AT14" s="87">
        <v>1.04</v>
      </c>
      <c r="AU14" s="87">
        <v>0.99</v>
      </c>
      <c r="AV14" s="39">
        <v>1.1639999999999999</v>
      </c>
      <c r="AW14" s="39">
        <v>1.073</v>
      </c>
      <c r="AX14" s="37">
        <v>1.0308999999999999</v>
      </c>
      <c r="AY14" s="37">
        <v>0.98799999999999999</v>
      </c>
      <c r="AZ14" s="37">
        <v>1.1406000000000001</v>
      </c>
      <c r="BA14" s="37">
        <v>1.0491999999999999</v>
      </c>
      <c r="BB14" s="37">
        <v>1.2664</v>
      </c>
      <c r="BC14" s="37">
        <v>1.0639000000000001</v>
      </c>
      <c r="BD14" s="36">
        <v>1.06</v>
      </c>
      <c r="BE14" s="36">
        <v>1.04</v>
      </c>
      <c r="BF14" s="87">
        <v>116.94</v>
      </c>
      <c r="BG14" s="87">
        <v>109.62</v>
      </c>
      <c r="BH14" s="36">
        <v>151.85</v>
      </c>
      <c r="BI14" s="36">
        <v>129.63</v>
      </c>
      <c r="BJ14" s="37">
        <v>1.3372999999999999</v>
      </c>
      <c r="BK14" s="37">
        <v>1.2273000000000001</v>
      </c>
      <c r="BL14" s="37">
        <v>1.0248999999999999</v>
      </c>
      <c r="BM14" s="37">
        <v>1.0124</v>
      </c>
    </row>
    <row r="15" spans="1:65" ht="15" customHeight="1" x14ac:dyDescent="0.25">
      <c r="A15" s="11" t="s">
        <v>138</v>
      </c>
      <c r="B15" s="31">
        <v>3.29</v>
      </c>
      <c r="C15" s="87">
        <v>1.48</v>
      </c>
      <c r="D15" s="65">
        <v>2.4500000000000002</v>
      </c>
      <c r="E15" s="65">
        <v>0.91</v>
      </c>
      <c r="F15" s="87">
        <v>6.88</v>
      </c>
      <c r="G15" s="87">
        <v>1.42</v>
      </c>
      <c r="H15" s="31">
        <v>7.59</v>
      </c>
      <c r="I15" s="31">
        <v>2.4700000000000002</v>
      </c>
      <c r="J15" s="31">
        <v>6.31</v>
      </c>
      <c r="K15" s="31">
        <v>2.59</v>
      </c>
      <c r="L15" s="38">
        <v>3.94</v>
      </c>
      <c r="M15" s="31">
        <v>3.94</v>
      </c>
      <c r="N15" s="31">
        <v>13.16</v>
      </c>
      <c r="O15" s="31">
        <v>13.16</v>
      </c>
      <c r="P15" s="87">
        <v>4.68</v>
      </c>
      <c r="Q15" s="87">
        <v>1.83</v>
      </c>
      <c r="R15" s="31">
        <v>5.88</v>
      </c>
      <c r="S15" s="31">
        <v>2.35</v>
      </c>
      <c r="T15" s="31"/>
      <c r="U15" s="87">
        <v>1.68</v>
      </c>
      <c r="V15" s="31">
        <v>2.2000000000000002</v>
      </c>
      <c r="W15" s="31">
        <v>2.2000000000000002</v>
      </c>
      <c r="X15" s="87">
        <v>7.75</v>
      </c>
      <c r="Y15" s="87">
        <v>3.14</v>
      </c>
      <c r="Z15" s="31"/>
      <c r="AA15" s="31">
        <v>2.23</v>
      </c>
      <c r="AB15" s="31">
        <v>4.9000000000000004</v>
      </c>
      <c r="AC15" s="87">
        <v>1.9</v>
      </c>
      <c r="AD15" s="31">
        <v>5.82</v>
      </c>
      <c r="AE15" s="31">
        <v>1.9</v>
      </c>
      <c r="AF15" s="31">
        <v>8.8000000000000007</v>
      </c>
      <c r="AG15" s="31">
        <v>3.54</v>
      </c>
      <c r="AH15" s="37">
        <v>2.2223999999999999</v>
      </c>
      <c r="AI15" s="37">
        <v>0.8377</v>
      </c>
      <c r="AJ15" s="78" t="s">
        <v>308</v>
      </c>
      <c r="AK15" s="78" t="s">
        <v>312</v>
      </c>
      <c r="AL15" s="18">
        <v>8.456714982958033</v>
      </c>
      <c r="AM15" s="18">
        <v>2.7063736849137934</v>
      </c>
      <c r="AN15" s="31">
        <v>10.039999999999999</v>
      </c>
      <c r="AO15" s="31">
        <v>4.63</v>
      </c>
      <c r="AP15" s="31">
        <v>5.31</v>
      </c>
      <c r="AQ15" s="31">
        <v>2.74</v>
      </c>
      <c r="AR15" s="31">
        <v>8.93</v>
      </c>
      <c r="AS15" s="31">
        <v>2.89</v>
      </c>
      <c r="AT15" s="87">
        <v>2.94</v>
      </c>
      <c r="AU15" s="87">
        <v>1.04</v>
      </c>
      <c r="AV15" s="87">
        <v>3.32</v>
      </c>
      <c r="AW15" s="87">
        <v>3.31</v>
      </c>
      <c r="AX15" s="31">
        <v>7.16</v>
      </c>
      <c r="AY15" s="31">
        <v>2.2999999999999998</v>
      </c>
      <c r="AZ15" s="37">
        <v>16.111699999999999</v>
      </c>
      <c r="BA15" s="37">
        <v>5.6585999999999999</v>
      </c>
      <c r="BB15" s="37">
        <v>2.6482000000000001</v>
      </c>
      <c r="BC15" s="37">
        <v>0.94189999999999996</v>
      </c>
      <c r="BD15" s="31">
        <v>5.8</v>
      </c>
      <c r="BE15" s="31">
        <v>2.34</v>
      </c>
      <c r="BF15" s="87">
        <v>6.49</v>
      </c>
      <c r="BG15" s="87">
        <v>2.1</v>
      </c>
      <c r="BH15" s="31">
        <v>8.0399999999999991</v>
      </c>
      <c r="BI15" s="31">
        <v>2.63</v>
      </c>
      <c r="BJ15" s="37">
        <v>0.23519999999999999</v>
      </c>
      <c r="BK15" s="37">
        <v>3.0777000000000001</v>
      </c>
      <c r="BL15" s="87">
        <v>2.2400000000000002</v>
      </c>
      <c r="BM15" s="87">
        <v>2.27</v>
      </c>
    </row>
    <row r="16" spans="1:65" x14ac:dyDescent="0.25">
      <c r="A16" s="11" t="s">
        <v>139</v>
      </c>
      <c r="B16" s="31">
        <v>-1.5</v>
      </c>
      <c r="C16" s="87">
        <v>-1.08</v>
      </c>
      <c r="D16" s="65">
        <v>-0.35</v>
      </c>
      <c r="E16" s="65">
        <v>-0.43</v>
      </c>
      <c r="F16" s="87">
        <v>-0.05</v>
      </c>
      <c r="G16" s="87">
        <v>0.05</v>
      </c>
      <c r="H16" s="31">
        <v>0.01</v>
      </c>
      <c r="I16" s="31">
        <v>0.04</v>
      </c>
      <c r="J16" s="36">
        <v>-0.19</v>
      </c>
      <c r="K16" s="36">
        <v>-0.12</v>
      </c>
      <c r="L16" s="40">
        <v>-0.21</v>
      </c>
      <c r="M16" s="31">
        <v>-7.0000000000000007E-2</v>
      </c>
      <c r="N16" s="83">
        <v>0.73880000000000001</v>
      </c>
      <c r="O16" s="37">
        <v>-0.41820000000000002</v>
      </c>
      <c r="P16" s="87">
        <v>-0.79</v>
      </c>
      <c r="Q16" s="87">
        <v>-0.79</v>
      </c>
      <c r="R16" s="31">
        <v>-0.12</v>
      </c>
      <c r="S16" s="31">
        <v>-0.09</v>
      </c>
      <c r="T16" s="31">
        <v>-0.22</v>
      </c>
      <c r="U16" s="87">
        <v>-0.15</v>
      </c>
      <c r="V16" s="40">
        <v>-7.0000000000000007E-2</v>
      </c>
      <c r="W16" s="40">
        <v>-0.02</v>
      </c>
      <c r="X16" s="87">
        <v>-0.05</v>
      </c>
      <c r="Y16" s="87">
        <v>-0.01</v>
      </c>
      <c r="Z16" s="37">
        <v>-7.0800000000000002E-2</v>
      </c>
      <c r="AA16" s="37">
        <v>-3.78E-2</v>
      </c>
      <c r="AB16" s="31">
        <v>-0.19</v>
      </c>
      <c r="AC16" s="87">
        <v>-0.12</v>
      </c>
      <c r="AD16" s="87">
        <v>-0.4</v>
      </c>
      <c r="AE16" s="87">
        <v>-0.12</v>
      </c>
      <c r="AF16" s="31">
        <v>-0.25</v>
      </c>
      <c r="AG16" s="31">
        <v>-0.2</v>
      </c>
      <c r="AH16" s="37">
        <v>-0.30499999999999999</v>
      </c>
      <c r="AI16" s="37">
        <v>-0.25359999999999999</v>
      </c>
      <c r="AJ16" s="78" t="s">
        <v>309</v>
      </c>
      <c r="AK16" s="78" t="s">
        <v>313</v>
      </c>
      <c r="AL16" s="18">
        <v>-0.39155342548670963</v>
      </c>
      <c r="AM16" s="18">
        <v>-0.18510343050040479</v>
      </c>
      <c r="AN16" s="31">
        <v>-0.87</v>
      </c>
      <c r="AO16" s="31">
        <v>-2.06</v>
      </c>
      <c r="AP16" s="31">
        <v>-0.63</v>
      </c>
      <c r="AQ16" s="31">
        <v>-0.64</v>
      </c>
      <c r="AR16" s="31">
        <v>-0.22</v>
      </c>
      <c r="AS16" s="31">
        <v>-0.18</v>
      </c>
      <c r="AT16" s="87">
        <v>-0.09</v>
      </c>
      <c r="AU16" s="87">
        <v>-7.0000000000000007E-2</v>
      </c>
      <c r="AV16" s="87">
        <v>-0.21</v>
      </c>
      <c r="AW16" s="87">
        <v>-0.06</v>
      </c>
      <c r="AX16" s="31">
        <v>-0.05</v>
      </c>
      <c r="AY16" s="31">
        <v>0.01</v>
      </c>
      <c r="AZ16" s="37">
        <v>-0.13009999999999999</v>
      </c>
      <c r="BA16" s="37">
        <v>-2.0199999999999999E-2</v>
      </c>
      <c r="BB16" s="37">
        <v>-0.31180000000000002</v>
      </c>
      <c r="BC16" s="37">
        <v>-0.1109</v>
      </c>
      <c r="BD16" s="31">
        <v>-0.17</v>
      </c>
      <c r="BE16" s="31">
        <v>-0.1</v>
      </c>
      <c r="BF16" s="87">
        <v>-0.15</v>
      </c>
      <c r="BG16" s="87">
        <v>-0.1</v>
      </c>
      <c r="BH16" s="31">
        <v>-0.49</v>
      </c>
      <c r="BI16" s="31">
        <v>-0.28999999999999998</v>
      </c>
      <c r="BJ16" s="37">
        <v>-0.34429999999999999</v>
      </c>
      <c r="BK16" s="37">
        <v>-0.22850000000000001</v>
      </c>
      <c r="BL16" s="87">
        <v>0.01</v>
      </c>
      <c r="BM16" s="87">
        <v>0</v>
      </c>
    </row>
    <row r="17" spans="1:65" x14ac:dyDescent="0.25">
      <c r="A17" s="11" t="s">
        <v>140</v>
      </c>
      <c r="B17" s="37">
        <v>-1.3916999999999999</v>
      </c>
      <c r="C17" s="37">
        <v>-0.94830000000000003</v>
      </c>
      <c r="D17" s="65">
        <v>-0.26</v>
      </c>
      <c r="E17" s="36">
        <v>-0.34</v>
      </c>
      <c r="F17" s="37">
        <v>-1.04E-2</v>
      </c>
      <c r="G17" s="37">
        <v>0.1149</v>
      </c>
      <c r="H17" s="37">
        <v>0.185</v>
      </c>
      <c r="I17" s="37">
        <v>0.20399999999999999</v>
      </c>
      <c r="J17" s="36">
        <v>0</v>
      </c>
      <c r="K17" s="36">
        <v>7.0000000000000007E-2</v>
      </c>
      <c r="L17" s="37">
        <v>9.9900000000000003E-2</v>
      </c>
      <c r="M17" s="37">
        <v>0.1983</v>
      </c>
      <c r="N17" s="37">
        <v>1.3953</v>
      </c>
      <c r="O17" s="37">
        <v>0.28599999999999998</v>
      </c>
      <c r="P17" s="36">
        <v>-0.51</v>
      </c>
      <c r="Q17" s="36">
        <v>-0.57999999999999996</v>
      </c>
      <c r="R17" s="36">
        <v>0.05</v>
      </c>
      <c r="S17" s="36">
        <v>0.06</v>
      </c>
      <c r="T17" s="37">
        <v>-0.1004</v>
      </c>
      <c r="U17" s="37">
        <v>-2.3599999999999999E-2</v>
      </c>
      <c r="V17" s="39">
        <v>8.2799999999999999E-2</v>
      </c>
      <c r="W17" s="39">
        <v>0.12889999999999999</v>
      </c>
      <c r="X17" s="36">
        <v>0.12</v>
      </c>
      <c r="Y17" s="36">
        <v>0.16</v>
      </c>
      <c r="Z17" s="37">
        <v>4.2200000000000001E-2</v>
      </c>
      <c r="AA17" s="37">
        <v>9.0499999999999997E-2</v>
      </c>
      <c r="AB17" s="36">
        <v>-7.0000000000000007E-2</v>
      </c>
      <c r="AC17" s="36">
        <v>0.02</v>
      </c>
      <c r="AD17" s="87">
        <v>-0.27</v>
      </c>
      <c r="AE17" s="36">
        <v>0</v>
      </c>
      <c r="AF17" s="77">
        <v>2E-3</v>
      </c>
      <c r="AG17" s="77">
        <v>6.3E-2</v>
      </c>
      <c r="AH17" s="37">
        <v>-0.26069999999999999</v>
      </c>
      <c r="AI17" s="37">
        <v>-0.24429999999999999</v>
      </c>
      <c r="AJ17" s="97">
        <v>-0.01</v>
      </c>
      <c r="AK17" s="36">
        <v>7.0000000000000007E-2</v>
      </c>
      <c r="AL17" s="37">
        <v>-0.10814734202142399</v>
      </c>
      <c r="AM17" s="37">
        <v>4.9250102615295457E-2</v>
      </c>
      <c r="AN17" s="36">
        <v>-0.57999999999999996</v>
      </c>
      <c r="AO17" s="36">
        <v>-1.86</v>
      </c>
      <c r="AP17" s="37">
        <v>-0.2535</v>
      </c>
      <c r="AQ17" s="37">
        <v>-0.21210000000000001</v>
      </c>
      <c r="AR17" s="65">
        <v>0.04</v>
      </c>
      <c r="AS17" s="65">
        <v>0.12</v>
      </c>
      <c r="AT17" s="87">
        <v>-0.03</v>
      </c>
      <c r="AU17" s="87">
        <v>-0.01</v>
      </c>
      <c r="AV17" s="39">
        <v>-4.4999999999999998E-2</v>
      </c>
      <c r="AW17" s="39">
        <v>0.121</v>
      </c>
      <c r="AX17" s="37">
        <v>0.1593</v>
      </c>
      <c r="AY17" s="37">
        <v>0.1593</v>
      </c>
      <c r="AZ17" s="37">
        <v>0.18870000000000001</v>
      </c>
      <c r="BA17" s="37">
        <v>0.28910000000000002</v>
      </c>
      <c r="BB17" s="37">
        <v>-0.27739999999999998</v>
      </c>
      <c r="BC17" s="37">
        <v>-6.9000000000000006E-2</v>
      </c>
      <c r="BD17" s="36">
        <v>0.02</v>
      </c>
      <c r="BE17" s="36">
        <v>0.1</v>
      </c>
      <c r="BF17" s="87">
        <v>3.47</v>
      </c>
      <c r="BG17" s="87">
        <v>4.24</v>
      </c>
      <c r="BH17" s="31">
        <v>-28.25</v>
      </c>
      <c r="BI17" s="31">
        <v>-10.050000000000001</v>
      </c>
      <c r="BJ17" s="37">
        <v>-0.20039999999999999</v>
      </c>
      <c r="BK17" s="37">
        <v>-6.2E-2</v>
      </c>
      <c r="BL17" s="37">
        <v>0.13500000000000001</v>
      </c>
      <c r="BM17" s="37">
        <v>0.127</v>
      </c>
    </row>
    <row r="18" spans="1:65" x14ac:dyDescent="0.25">
      <c r="A18" s="11" t="s">
        <v>141</v>
      </c>
      <c r="B18" s="31">
        <v>0.2</v>
      </c>
      <c r="C18" s="87">
        <v>0.2</v>
      </c>
      <c r="D18" s="65">
        <v>0.08</v>
      </c>
      <c r="E18" s="65">
        <v>0.08</v>
      </c>
      <c r="F18" s="87">
        <v>1.1299999999999999</v>
      </c>
      <c r="G18" s="87">
        <v>1.1299999999999999</v>
      </c>
      <c r="H18" s="31">
        <v>0.17</v>
      </c>
      <c r="I18" s="31">
        <v>0.17</v>
      </c>
      <c r="J18" s="31">
        <v>0.24</v>
      </c>
      <c r="K18" s="31">
        <v>0.24</v>
      </c>
      <c r="L18" s="38">
        <v>0.15</v>
      </c>
      <c r="M18" s="31">
        <v>0.15</v>
      </c>
      <c r="N18" s="18">
        <v>-1.57</v>
      </c>
      <c r="O18" s="31">
        <v>0.38</v>
      </c>
      <c r="P18" s="87">
        <v>0.51</v>
      </c>
      <c r="Q18" s="87">
        <v>0.51</v>
      </c>
      <c r="R18" s="31">
        <v>0.15</v>
      </c>
      <c r="S18" s="31">
        <v>0.15</v>
      </c>
      <c r="T18" s="31"/>
      <c r="U18" s="37">
        <v>0.27889999999999998</v>
      </c>
      <c r="V18" s="31">
        <v>0.27</v>
      </c>
      <c r="W18" s="31">
        <v>0.27</v>
      </c>
      <c r="X18" s="87">
        <v>0.14000000000000001</v>
      </c>
      <c r="Y18" s="87">
        <v>0.14000000000000001</v>
      </c>
      <c r="Z18" s="31"/>
      <c r="AA18" s="31">
        <v>0.24</v>
      </c>
      <c r="AB18" s="31">
        <v>0.17</v>
      </c>
      <c r="AC18" s="87">
        <v>0.17</v>
      </c>
      <c r="AD18" s="87">
        <v>0.14000000000000001</v>
      </c>
      <c r="AE18" s="87">
        <v>0.14000000000000001</v>
      </c>
      <c r="AF18" s="31">
        <v>0.14000000000000001</v>
      </c>
      <c r="AG18" s="31">
        <v>0.14000000000000001</v>
      </c>
      <c r="AH18" s="37">
        <v>0.46899999999999997</v>
      </c>
      <c r="AI18" s="37">
        <v>0.46899999999999997</v>
      </c>
      <c r="AJ18" s="78" t="s">
        <v>310</v>
      </c>
      <c r="AK18" s="78" t="s">
        <v>310</v>
      </c>
      <c r="AL18" s="18">
        <v>0.164530211248122</v>
      </c>
      <c r="AM18" s="18">
        <v>0.164530211248122</v>
      </c>
      <c r="AN18" s="31">
        <v>0.23</v>
      </c>
      <c r="AO18" s="31">
        <v>0.23</v>
      </c>
      <c r="AP18" s="31">
        <v>0.36</v>
      </c>
      <c r="AQ18" s="31">
        <v>0.36</v>
      </c>
      <c r="AR18" s="31">
        <v>0.21</v>
      </c>
      <c r="AS18" s="31">
        <v>0.21</v>
      </c>
      <c r="AT18" s="87">
        <v>0.27</v>
      </c>
      <c r="AU18" s="87">
        <v>0.27</v>
      </c>
      <c r="AV18" s="87">
        <v>0.22</v>
      </c>
      <c r="AW18" s="87">
        <v>0.23</v>
      </c>
      <c r="AX18" s="31">
        <v>0.14000000000000001</v>
      </c>
      <c r="AY18" s="31">
        <v>0.14000000000000001</v>
      </c>
      <c r="AZ18" s="37">
        <v>6.1699999999999998E-2</v>
      </c>
      <c r="BA18" s="37">
        <v>6.1699999999999998E-2</v>
      </c>
      <c r="BB18" s="37">
        <v>0.44269999999999998</v>
      </c>
      <c r="BC18" s="37">
        <v>0.44269999999999998</v>
      </c>
      <c r="BD18" s="31">
        <v>0.42</v>
      </c>
      <c r="BE18" s="31">
        <v>0.12</v>
      </c>
      <c r="BF18" s="87">
        <v>0.3</v>
      </c>
      <c r="BG18" s="87">
        <v>0.3</v>
      </c>
      <c r="BH18" s="31">
        <v>0.21</v>
      </c>
      <c r="BI18" s="31">
        <v>0.21</v>
      </c>
      <c r="BJ18" s="31"/>
      <c r="BK18" s="37">
        <v>0.1943</v>
      </c>
      <c r="BL18" s="87">
        <v>0.27</v>
      </c>
      <c r="BM18" s="87">
        <v>0.27</v>
      </c>
    </row>
    <row r="19" spans="1:65" x14ac:dyDescent="0.25">
      <c r="A19" s="11" t="s">
        <v>142</v>
      </c>
      <c r="B19" s="37">
        <v>-1.117</v>
      </c>
      <c r="C19" s="37">
        <v>-0.7369</v>
      </c>
      <c r="D19" s="65">
        <v>-0.21</v>
      </c>
      <c r="E19" s="36">
        <v>-0.27</v>
      </c>
      <c r="F19" s="37">
        <v>0.3851</v>
      </c>
      <c r="G19" s="37">
        <v>8.3900000000000002E-2</v>
      </c>
      <c r="H19" s="37">
        <v>0.16500000000000001</v>
      </c>
      <c r="I19" s="37">
        <v>0.19400000000000001</v>
      </c>
      <c r="J19" s="36">
        <v>0</v>
      </c>
      <c r="K19" s="36">
        <v>7.0000000000000007E-2</v>
      </c>
      <c r="L19" s="37">
        <v>3.9300000000000002E-2</v>
      </c>
      <c r="M19" s="37">
        <v>9.9500000000000005E-2</v>
      </c>
      <c r="N19" s="37">
        <v>1.5286999999999999</v>
      </c>
      <c r="O19" s="37">
        <v>0.65990000000000004</v>
      </c>
      <c r="P19" s="36">
        <v>-0.48</v>
      </c>
      <c r="Q19" s="36">
        <v>-0.55000000000000004</v>
      </c>
      <c r="R19" s="36">
        <v>7.0000000000000007E-2</v>
      </c>
      <c r="S19" s="36">
        <v>7.0000000000000007E-2</v>
      </c>
      <c r="T19" s="37">
        <v>-7.6600000000000001E-2</v>
      </c>
      <c r="U19" s="37">
        <v>3.8E-3</v>
      </c>
      <c r="V19" s="39">
        <v>7.0900000000000005E-2</v>
      </c>
      <c r="W19" s="39">
        <v>0.11260000000000001</v>
      </c>
      <c r="X19" s="36">
        <v>0.12</v>
      </c>
      <c r="Y19" s="36">
        <v>0.15</v>
      </c>
      <c r="Z19" s="37">
        <v>6.1199999999999997E-2</v>
      </c>
      <c r="AA19" s="37">
        <v>9.06E-2</v>
      </c>
      <c r="AB19" s="36">
        <v>-0.02</v>
      </c>
      <c r="AC19" s="36">
        <v>0.05</v>
      </c>
      <c r="AD19" s="36">
        <v>-0.23</v>
      </c>
      <c r="AE19" s="36">
        <v>0.05</v>
      </c>
      <c r="AF19" s="77">
        <v>7.0000000000000001E-3</v>
      </c>
      <c r="AG19" s="77">
        <v>0.04</v>
      </c>
      <c r="AH19" s="37">
        <v>-0.20799999999999999</v>
      </c>
      <c r="AI19" s="37">
        <v>-0.16619999999999999</v>
      </c>
      <c r="AJ19" s="97">
        <v>-0.15</v>
      </c>
      <c r="AK19" s="36">
        <v>-5.3900000000000003E-2</v>
      </c>
      <c r="AL19" s="37">
        <v>-0.11525573482750302</v>
      </c>
      <c r="AM19" s="37">
        <v>1.4936971307674539E-2</v>
      </c>
      <c r="AN19" s="36">
        <v>-0.33</v>
      </c>
      <c r="AO19" s="36">
        <v>-1.88</v>
      </c>
      <c r="AP19" s="37">
        <v>-0.33029999999999998</v>
      </c>
      <c r="AQ19" s="37">
        <v>-0.36520000000000002</v>
      </c>
      <c r="AR19" s="65">
        <v>0.04</v>
      </c>
      <c r="AS19" s="79">
        <v>0.06</v>
      </c>
      <c r="AT19" s="87">
        <v>0.01</v>
      </c>
      <c r="AU19" s="87">
        <v>0.02</v>
      </c>
      <c r="AV19" s="39">
        <v>-1.4E-2</v>
      </c>
      <c r="AW19" s="39">
        <v>0.112</v>
      </c>
      <c r="AX19" s="37">
        <v>0.12570000000000001</v>
      </c>
      <c r="AY19" s="37">
        <v>0.15809999999999999</v>
      </c>
      <c r="AZ19" s="37">
        <v>0.1988</v>
      </c>
      <c r="BA19" s="37">
        <v>0.2969</v>
      </c>
      <c r="BB19" s="37">
        <v>-0.1598</v>
      </c>
      <c r="BC19" s="37">
        <v>-2.8299999999999999E-2</v>
      </c>
      <c r="BD19" s="36">
        <v>0.04</v>
      </c>
      <c r="BE19" s="36">
        <v>0.09</v>
      </c>
      <c r="BF19" s="87">
        <v>8.2100000000000009</v>
      </c>
      <c r="BG19" s="87">
        <v>6.93</v>
      </c>
      <c r="BH19" s="31">
        <v>-29.54</v>
      </c>
      <c r="BI19" s="31">
        <v>-9.4700000000000006</v>
      </c>
      <c r="BJ19" s="36"/>
      <c r="BK19" s="37">
        <v>-4.5499999999999999E-2</v>
      </c>
      <c r="BL19" s="37">
        <v>7.2499999999999995E-2</v>
      </c>
      <c r="BM19" s="37">
        <v>0.1016</v>
      </c>
    </row>
    <row r="20" spans="1:65" x14ac:dyDescent="0.25">
      <c r="A20" s="11" t="s">
        <v>143</v>
      </c>
      <c r="B20" s="37">
        <v>-0.61939999999999995</v>
      </c>
      <c r="C20" s="37">
        <v>-0.90920000000000001</v>
      </c>
      <c r="D20" s="65">
        <v>-0.12</v>
      </c>
      <c r="E20" s="36">
        <v>-0.42</v>
      </c>
      <c r="F20" s="37">
        <v>8.0399999999999999E-2</v>
      </c>
      <c r="G20" s="37">
        <v>8.5000000000000006E-2</v>
      </c>
      <c r="H20" s="37">
        <v>4.7E-2</v>
      </c>
      <c r="I20" s="37">
        <v>0.151</v>
      </c>
      <c r="J20" s="36">
        <v>0</v>
      </c>
      <c r="K20" s="36">
        <v>0.12</v>
      </c>
      <c r="L20" s="37">
        <v>1.72E-2</v>
      </c>
      <c r="M20" s="37">
        <v>0.12870000000000001</v>
      </c>
      <c r="N20" s="37">
        <v>6.2300000000000001E-2</v>
      </c>
      <c r="O20" s="37">
        <v>6.2300000000000001E-2</v>
      </c>
      <c r="P20" s="36">
        <v>-0.19</v>
      </c>
      <c r="Q20" s="36">
        <v>-0.59</v>
      </c>
      <c r="R20" s="36">
        <v>0.04</v>
      </c>
      <c r="S20" s="36">
        <v>0.1</v>
      </c>
      <c r="T20" s="37">
        <v>-3.6700000000000003E-2</v>
      </c>
      <c r="U20" s="37">
        <v>4.5999999999999999E-3</v>
      </c>
      <c r="V20" s="39">
        <v>0.1668</v>
      </c>
      <c r="W20" s="39">
        <v>0.1668</v>
      </c>
      <c r="X20" s="36">
        <v>0.04</v>
      </c>
      <c r="Y20" s="36">
        <v>0.16</v>
      </c>
      <c r="Z20" s="37"/>
      <c r="AA20" s="37">
        <v>0.1249</v>
      </c>
      <c r="AB20" s="36">
        <v>-0.02</v>
      </c>
      <c r="AC20" s="36">
        <v>0.08</v>
      </c>
      <c r="AD20" s="36">
        <v>-0.09</v>
      </c>
      <c r="AE20" s="36">
        <v>0.05</v>
      </c>
      <c r="AF20" s="77">
        <v>4.0000000000000001E-3</v>
      </c>
      <c r="AG20" s="77">
        <v>5.1999999999999998E-2</v>
      </c>
      <c r="AH20" s="37">
        <v>-0.13059999999999999</v>
      </c>
      <c r="AI20" s="37">
        <v>-0.27689999999999998</v>
      </c>
      <c r="AJ20" s="97">
        <v>-0.13</v>
      </c>
      <c r="AK20" s="36">
        <v>-0.12</v>
      </c>
      <c r="AL20" s="37">
        <v>-0.59597336127853773</v>
      </c>
      <c r="AM20" s="37">
        <v>0.24134637644462301</v>
      </c>
      <c r="AN20" s="36">
        <v>-0.04</v>
      </c>
      <c r="AO20" s="36">
        <v>-0.45</v>
      </c>
      <c r="AP20" s="37">
        <v>-0.13830000000000001</v>
      </c>
      <c r="AQ20" s="37">
        <v>-0.29630000000000001</v>
      </c>
      <c r="AR20" s="65">
        <v>0.02</v>
      </c>
      <c r="AS20" s="65">
        <v>0.09</v>
      </c>
      <c r="AT20" s="87">
        <v>0</v>
      </c>
      <c r="AU20" s="87">
        <v>0.03</v>
      </c>
      <c r="AV20" s="39">
        <v>-6.0000000000000001E-3</v>
      </c>
      <c r="AW20" s="39">
        <v>0.125</v>
      </c>
      <c r="AX20" s="37">
        <v>3.9399999999999998E-2</v>
      </c>
      <c r="AY20" s="37">
        <v>0.15409999999999999</v>
      </c>
      <c r="AZ20" s="37">
        <v>0.2074</v>
      </c>
      <c r="BA20" s="37">
        <v>0.2074</v>
      </c>
      <c r="BB20" s="37">
        <v>-7.7799999999999994E-2</v>
      </c>
      <c r="BC20" s="37">
        <v>-3.8699999999999998E-2</v>
      </c>
      <c r="BD20" s="36">
        <v>0.02</v>
      </c>
      <c r="BE20" s="36">
        <v>0.13</v>
      </c>
      <c r="BF20" s="87">
        <v>3.04</v>
      </c>
      <c r="BG20" s="87">
        <v>8.2100000000000009</v>
      </c>
      <c r="BH20" s="31">
        <v>-62.57</v>
      </c>
      <c r="BI20" s="31">
        <v>-61.32</v>
      </c>
      <c r="BJ20" s="36"/>
      <c r="BK20" s="37">
        <v>-0.11409999999999999</v>
      </c>
      <c r="BL20" s="37">
        <v>2.53E-2</v>
      </c>
      <c r="BM20" s="37">
        <v>9.6100000000000005E-2</v>
      </c>
    </row>
    <row r="21" spans="1:65" ht="30" x14ac:dyDescent="0.25">
      <c r="A21" s="11" t="s">
        <v>144</v>
      </c>
      <c r="B21" s="31">
        <v>1.93</v>
      </c>
      <c r="C21" s="31">
        <v>1.93</v>
      </c>
      <c r="D21" s="31">
        <v>2.09</v>
      </c>
      <c r="E21" s="31">
        <v>2.09</v>
      </c>
      <c r="F21" s="87">
        <v>2.29</v>
      </c>
      <c r="G21" s="87">
        <v>2.29</v>
      </c>
      <c r="H21" s="31">
        <v>3.3</v>
      </c>
      <c r="I21" s="31">
        <v>3.3</v>
      </c>
      <c r="J21" s="87">
        <v>1.55</v>
      </c>
      <c r="K21" s="87">
        <v>1.55</v>
      </c>
      <c r="L21" s="31">
        <v>2.0099999999999998</v>
      </c>
      <c r="M21" s="31">
        <v>2.0099999999999998</v>
      </c>
      <c r="N21" s="31"/>
      <c r="O21" s="31">
        <v>15.97</v>
      </c>
      <c r="P21" s="87">
        <v>2.04</v>
      </c>
      <c r="Q21" s="87">
        <v>2.04</v>
      </c>
      <c r="R21" s="31">
        <v>1.63</v>
      </c>
      <c r="S21" s="31">
        <v>1.63</v>
      </c>
      <c r="T21" s="31"/>
      <c r="U21" s="87">
        <v>2.37</v>
      </c>
      <c r="V21" s="31">
        <v>1.98</v>
      </c>
      <c r="W21" s="31">
        <v>1.98</v>
      </c>
      <c r="X21" s="87">
        <v>2.76</v>
      </c>
      <c r="Y21" s="87">
        <v>2.76</v>
      </c>
      <c r="Z21" s="31"/>
      <c r="AA21" s="31">
        <v>1.75</v>
      </c>
      <c r="AB21" s="31">
        <v>2.2400000000000002</v>
      </c>
      <c r="AC21" s="31">
        <v>2.2400000000000002</v>
      </c>
      <c r="AD21" s="31">
        <v>2.81</v>
      </c>
      <c r="AE21" s="31">
        <v>2.81</v>
      </c>
      <c r="AF21" s="31">
        <v>1.81</v>
      </c>
      <c r="AG21" s="31">
        <v>1.81</v>
      </c>
      <c r="AH21" s="37">
        <v>2.5916999999999999</v>
      </c>
      <c r="AI21" s="37">
        <v>2.5916999999999999</v>
      </c>
      <c r="AJ21" s="78" t="s">
        <v>311</v>
      </c>
      <c r="AK21" s="78" t="s">
        <v>311</v>
      </c>
      <c r="AL21" s="37"/>
      <c r="AM21" s="18">
        <v>0.7</v>
      </c>
      <c r="AN21" s="31">
        <v>2.2200000000000002</v>
      </c>
      <c r="AO21" s="31">
        <v>2.2200000000000002</v>
      </c>
      <c r="AP21" s="31">
        <v>3.5</v>
      </c>
      <c r="AQ21" s="31">
        <v>3.5</v>
      </c>
      <c r="AR21" s="31">
        <v>1.65</v>
      </c>
      <c r="AS21" s="31">
        <v>1.65</v>
      </c>
      <c r="AT21" s="87">
        <v>2.52</v>
      </c>
      <c r="AU21" s="87">
        <v>2.52</v>
      </c>
      <c r="AV21" s="87">
        <v>2.16</v>
      </c>
      <c r="AW21" s="87">
        <v>2.16</v>
      </c>
      <c r="AX21" s="31">
        <v>2.21</v>
      </c>
      <c r="AY21" s="31">
        <v>2.21</v>
      </c>
      <c r="AZ21" s="31">
        <v>3.61</v>
      </c>
      <c r="BA21" s="31">
        <v>3.61</v>
      </c>
      <c r="BB21" s="37"/>
      <c r="BC21" s="31">
        <v>2.4900000000000002</v>
      </c>
      <c r="BD21" s="31">
        <v>2.17</v>
      </c>
      <c r="BE21" s="31">
        <v>2.17</v>
      </c>
      <c r="BF21" s="31">
        <v>2.15</v>
      </c>
      <c r="BG21" s="31">
        <v>2.15</v>
      </c>
      <c r="BH21" s="31">
        <v>6.3</v>
      </c>
      <c r="BI21" s="31">
        <v>1.53</v>
      </c>
      <c r="BJ21" s="31"/>
      <c r="BK21" s="31">
        <v>1.38</v>
      </c>
      <c r="BL21" s="31">
        <v>1.55</v>
      </c>
      <c r="BM21" s="31">
        <v>1.55</v>
      </c>
    </row>
    <row r="22" spans="1:65" x14ac:dyDescent="0.25">
      <c r="A22" s="11" t="s">
        <v>145</v>
      </c>
      <c r="B22" s="31"/>
      <c r="C22" s="31"/>
      <c r="D22" s="31"/>
      <c r="E22" s="31"/>
      <c r="F22" s="37">
        <v>8.0000000000000002E-3</v>
      </c>
      <c r="G22" s="37">
        <v>8.0000000000000002E-3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7"/>
      <c r="AH22" s="31"/>
      <c r="AI22" s="31"/>
      <c r="AJ22" s="78"/>
      <c r="AK22" s="78"/>
      <c r="AL22" s="37"/>
      <c r="AM22" s="37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7">
        <v>2.0999999999999999E-3</v>
      </c>
      <c r="BM22" s="37">
        <v>2.0999999999999999E-3</v>
      </c>
    </row>
    <row r="23" spans="1:65" x14ac:dyDescent="0.25">
      <c r="A23" s="11" t="s">
        <v>146</v>
      </c>
      <c r="B23" s="31"/>
      <c r="C23" s="31"/>
      <c r="D23" s="31"/>
      <c r="E23" s="31"/>
      <c r="F23" s="37"/>
      <c r="G23" s="37"/>
      <c r="H23" s="31"/>
      <c r="I23" s="37"/>
      <c r="J23" s="37">
        <v>5.6000000000000001E-2</v>
      </c>
      <c r="K23" s="37">
        <v>5.6000000000000001E-2</v>
      </c>
      <c r="L23" s="39">
        <v>3.3099999999999997E-2</v>
      </c>
      <c r="M23" s="39">
        <v>3.3099999999999997E-2</v>
      </c>
      <c r="N23" s="37"/>
      <c r="O23" s="37"/>
      <c r="P23" s="31"/>
      <c r="Q23" s="31"/>
      <c r="R23" s="31">
        <v>0.94</v>
      </c>
      <c r="S23" s="31">
        <v>0.94</v>
      </c>
      <c r="T23" s="31"/>
      <c r="U23" s="37"/>
      <c r="V23" s="31"/>
      <c r="W23" s="31"/>
      <c r="X23" s="31"/>
      <c r="Y23" s="31"/>
      <c r="Z23" s="31"/>
      <c r="AA23" s="37">
        <v>2.01E-2</v>
      </c>
      <c r="AB23" s="31"/>
      <c r="AC23" s="31"/>
      <c r="AD23" s="31"/>
      <c r="AE23" s="31"/>
      <c r="AF23" s="77">
        <v>1.2999999999999999E-2</v>
      </c>
      <c r="AG23" s="77">
        <v>1.2999999999999999E-2</v>
      </c>
      <c r="AH23" s="31"/>
      <c r="AI23" s="31"/>
      <c r="AJ23" s="37">
        <v>5.7599999999999998E-2</v>
      </c>
      <c r="AK23" s="37">
        <v>5.7599999999999998E-2</v>
      </c>
      <c r="AL23" s="37"/>
      <c r="AM23" s="37">
        <v>1.0999999999999999E-2</v>
      </c>
      <c r="AN23" s="39">
        <v>7.4700000000000003E-2</v>
      </c>
      <c r="AO23" s="37">
        <v>7.4700000000000003E-2</v>
      </c>
      <c r="AP23" s="37">
        <v>3.2800000000000003E-2</v>
      </c>
      <c r="AQ23" s="37">
        <v>3.2800000000000003E-2</v>
      </c>
      <c r="AR23" s="39">
        <v>1.84E-2</v>
      </c>
      <c r="AS23" s="39">
        <v>1.84E-2</v>
      </c>
      <c r="AT23" s="31"/>
      <c r="AU23" s="31"/>
      <c r="AV23" s="39">
        <v>1.6E-2</v>
      </c>
      <c r="AW23" s="39">
        <v>1.6E-2</v>
      </c>
      <c r="AX23" s="31"/>
      <c r="AY23" s="31"/>
      <c r="AZ23" s="31"/>
      <c r="BA23" s="31"/>
      <c r="BB23" s="31"/>
      <c r="BC23" s="31"/>
      <c r="BD23" s="31"/>
      <c r="BE23" s="31"/>
      <c r="BF23" s="31">
        <v>1.43</v>
      </c>
      <c r="BG23" s="31">
        <v>1.43</v>
      </c>
      <c r="BH23" s="31"/>
      <c r="BI23" s="31"/>
      <c r="BJ23" s="31"/>
      <c r="BK23" s="37">
        <v>1.84E-2</v>
      </c>
      <c r="BL23" s="31"/>
      <c r="BM23" s="37"/>
    </row>
    <row r="24" spans="1:65" x14ac:dyDescent="0.25">
      <c r="A24" s="11" t="s">
        <v>147</v>
      </c>
      <c r="B24" s="31"/>
      <c r="C24" s="31"/>
      <c r="D24" s="31"/>
      <c r="E24" s="31"/>
      <c r="F24" s="37"/>
      <c r="G24" s="37"/>
      <c r="H24" s="31"/>
      <c r="I24" s="37"/>
      <c r="J24" s="37">
        <v>1.8700000000000001E-2</v>
      </c>
      <c r="K24" s="37">
        <v>1.8700000000000001E-2</v>
      </c>
      <c r="L24" s="39">
        <v>6.7999999999999996E-3</v>
      </c>
      <c r="M24" s="39">
        <v>6.7999999999999996E-3</v>
      </c>
      <c r="N24" s="37"/>
      <c r="O24" s="37"/>
      <c r="P24" s="31"/>
      <c r="Q24" s="31"/>
      <c r="R24" s="31">
        <v>0.16</v>
      </c>
      <c r="S24" s="31">
        <v>0.16</v>
      </c>
      <c r="T24" s="31"/>
      <c r="U24" s="37"/>
      <c r="V24" s="31"/>
      <c r="W24" s="31"/>
      <c r="X24" s="31"/>
      <c r="Y24" s="31"/>
      <c r="Z24" s="31"/>
      <c r="AA24" s="37">
        <v>1.0800000000000001E-2</v>
      </c>
      <c r="AB24" s="31"/>
      <c r="AC24" s="31"/>
      <c r="AD24" s="31"/>
      <c r="AE24" s="31"/>
      <c r="AF24" s="31"/>
      <c r="AG24" s="31"/>
      <c r="AH24" s="31"/>
      <c r="AI24" s="31"/>
      <c r="AJ24" s="37">
        <v>8.8999999999999999E-3</v>
      </c>
      <c r="AK24" s="37">
        <v>8.8999999999999999E-3</v>
      </c>
      <c r="AL24" s="37"/>
      <c r="AM24" s="37"/>
      <c r="AN24" s="39">
        <v>2.3699999999999999E-2</v>
      </c>
      <c r="AO24" s="37">
        <v>2.3699999999999999E-2</v>
      </c>
      <c r="AP24" s="37">
        <v>0</v>
      </c>
      <c r="AQ24" s="37">
        <v>0</v>
      </c>
      <c r="AR24" s="39">
        <v>1.17E-2</v>
      </c>
      <c r="AS24" s="39">
        <v>1.17E-2</v>
      </c>
      <c r="AT24" s="31"/>
      <c r="AU24" s="31"/>
      <c r="AV24" s="39">
        <v>0.01</v>
      </c>
      <c r="AW24" s="39">
        <v>0.01</v>
      </c>
      <c r="AX24" s="31"/>
      <c r="AY24" s="31"/>
      <c r="AZ24" s="31"/>
      <c r="BA24" s="31"/>
      <c r="BB24" s="31"/>
      <c r="BC24" s="31"/>
      <c r="BD24" s="31"/>
      <c r="BE24" s="31"/>
      <c r="BF24" s="31">
        <v>0.08</v>
      </c>
      <c r="BG24" s="31">
        <v>0.08</v>
      </c>
      <c r="BH24" s="31"/>
      <c r="BI24" s="31"/>
      <c r="BJ24" s="31"/>
      <c r="BK24" s="37">
        <v>7.6E-3</v>
      </c>
      <c r="BL24" s="31"/>
      <c r="BM24" s="37"/>
    </row>
  </sheetData>
  <mergeCells count="32">
    <mergeCell ref="BJ2:BK2"/>
    <mergeCell ref="BL2:BM2"/>
    <mergeCell ref="BF2:BG2"/>
    <mergeCell ref="AZ2:BA2"/>
    <mergeCell ref="BB2:BC2"/>
    <mergeCell ref="BD2:BE2"/>
    <mergeCell ref="AL2:AM2"/>
    <mergeCell ref="AN2:AO2"/>
    <mergeCell ref="AP2:AQ2"/>
    <mergeCell ref="AR2:AS2"/>
    <mergeCell ref="BH2:BI2"/>
    <mergeCell ref="AT2:AU2"/>
    <mergeCell ref="AV2:AW2"/>
    <mergeCell ref="AX2:AY2"/>
    <mergeCell ref="Z2:AA2"/>
    <mergeCell ref="AB2:AC2"/>
    <mergeCell ref="AD2:AE2"/>
    <mergeCell ref="AF2:AG2"/>
    <mergeCell ref="AJ2:AK2"/>
    <mergeCell ref="AH2:AI2"/>
    <mergeCell ref="L2:M2"/>
    <mergeCell ref="B2:C2"/>
    <mergeCell ref="D2:E2"/>
    <mergeCell ref="F2:G2"/>
    <mergeCell ref="H2:I2"/>
    <mergeCell ref="J2:K2"/>
    <mergeCell ref="X2:Y2"/>
    <mergeCell ref="N2:O2"/>
    <mergeCell ref="P2:Q2"/>
    <mergeCell ref="R2:S2"/>
    <mergeCell ref="T2:U2"/>
    <mergeCell ref="V2:W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23" customWidth="1"/>
    <col min="2" max="17" width="16" style="23" customWidth="1"/>
    <col min="18" max="18" width="19.5703125" style="23" customWidth="1"/>
    <col min="19" max="33" width="16" style="23" customWidth="1"/>
    <col min="34" max="16384" width="9.140625" style="23"/>
  </cols>
  <sheetData>
    <row r="1" spans="1:33" ht="18.75" x14ac:dyDescent="0.3">
      <c r="A1" s="8" t="s">
        <v>303</v>
      </c>
    </row>
    <row r="2" spans="1:33" x14ac:dyDescent="0.25">
      <c r="A2" s="23" t="s">
        <v>100</v>
      </c>
    </row>
    <row r="3" spans="1:33" x14ac:dyDescent="0.25">
      <c r="A3" s="1" t="s">
        <v>0</v>
      </c>
      <c r="B3" s="102" t="s">
        <v>1</v>
      </c>
      <c r="C3" s="102" t="s">
        <v>282</v>
      </c>
      <c r="D3" s="102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304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100" t="s">
        <v>288</v>
      </c>
      <c r="AE3" s="100" t="s">
        <v>289</v>
      </c>
      <c r="AF3" s="100" t="s">
        <v>19</v>
      </c>
      <c r="AG3" s="102" t="s">
        <v>20</v>
      </c>
    </row>
    <row r="4" spans="1:33" ht="15" customHeight="1" x14ac:dyDescent="0.25">
      <c r="A4" s="21" t="s">
        <v>101</v>
      </c>
      <c r="B4" s="25">
        <v>32643</v>
      </c>
      <c r="C4" s="25">
        <v>102493.27</v>
      </c>
      <c r="D4" s="25">
        <v>1372935</v>
      </c>
      <c r="E4" s="25">
        <v>1813219</v>
      </c>
      <c r="F4" s="25">
        <v>555055</v>
      </c>
      <c r="G4" s="25">
        <v>978248</v>
      </c>
      <c r="H4" s="25">
        <v>805096.42</v>
      </c>
      <c r="I4" s="25">
        <v>32856</v>
      </c>
      <c r="J4" s="25">
        <v>485214</v>
      </c>
      <c r="K4" s="25">
        <v>422551</v>
      </c>
      <c r="L4" s="25">
        <v>1429123</v>
      </c>
      <c r="M4" s="25">
        <v>3030013</v>
      </c>
      <c r="N4" s="25">
        <v>857363.59</v>
      </c>
      <c r="O4" s="25">
        <v>67569</v>
      </c>
      <c r="P4" s="25">
        <v>234805</v>
      </c>
      <c r="Q4" s="25">
        <v>254120</v>
      </c>
      <c r="R4" s="25">
        <v>50931</v>
      </c>
      <c r="S4" s="25">
        <v>93653</v>
      </c>
      <c r="T4" s="25">
        <v>3814890.06</v>
      </c>
      <c r="U4" s="25">
        <v>37934</v>
      </c>
      <c r="V4" s="25">
        <v>49520</v>
      </c>
      <c r="W4" s="25">
        <v>1190711</v>
      </c>
      <c r="X4" s="25">
        <v>162125</v>
      </c>
      <c r="Y4" s="25">
        <v>589010</v>
      </c>
      <c r="Z4" s="25">
        <v>782370</v>
      </c>
      <c r="AA4" s="25">
        <v>866782</v>
      </c>
      <c r="AB4" s="25">
        <v>496180</v>
      </c>
      <c r="AC4" s="25">
        <v>1270307</v>
      </c>
      <c r="AD4" s="25">
        <v>4500266</v>
      </c>
      <c r="AE4" s="25">
        <v>3464255</v>
      </c>
      <c r="AF4" s="25">
        <v>3588985.13</v>
      </c>
      <c r="AG4" s="25">
        <v>389585</v>
      </c>
    </row>
    <row r="5" spans="1:33" ht="15" customHeight="1" x14ac:dyDescent="0.25">
      <c r="A5" s="21" t="s">
        <v>102</v>
      </c>
      <c r="B5" s="25">
        <v>20222</v>
      </c>
      <c r="C5" s="25">
        <v>59538.94</v>
      </c>
      <c r="D5" s="25">
        <v>626774</v>
      </c>
      <c r="E5" s="25">
        <v>1394725</v>
      </c>
      <c r="F5" s="25">
        <v>370603</v>
      </c>
      <c r="G5" s="25">
        <v>627674</v>
      </c>
      <c r="H5" s="25">
        <v>750630.31</v>
      </c>
      <c r="I5" s="25">
        <v>24612</v>
      </c>
      <c r="J5" s="25"/>
      <c r="K5" s="25"/>
      <c r="L5" s="25"/>
      <c r="M5" s="25"/>
      <c r="N5" s="25"/>
      <c r="O5" s="25"/>
      <c r="P5" s="25">
        <v>177245</v>
      </c>
      <c r="Q5" s="25"/>
      <c r="R5" s="25"/>
      <c r="S5" s="25">
        <v>60114</v>
      </c>
      <c r="T5" s="25"/>
      <c r="U5" s="25">
        <v>28636</v>
      </c>
      <c r="V5" s="25"/>
      <c r="W5" s="25">
        <v>893966</v>
      </c>
      <c r="X5" s="25">
        <v>140705</v>
      </c>
      <c r="Y5" s="25"/>
      <c r="Z5" s="25"/>
      <c r="AA5" s="25">
        <v>820800</v>
      </c>
      <c r="AB5" s="25"/>
      <c r="AC5" s="25">
        <v>986324</v>
      </c>
      <c r="AD5" s="25">
        <v>4122346</v>
      </c>
      <c r="AE5" s="25">
        <v>1577484</v>
      </c>
      <c r="AF5" s="25">
        <v>2361533.66</v>
      </c>
      <c r="AG5" s="25">
        <v>238365</v>
      </c>
    </row>
    <row r="6" spans="1:33" ht="15" customHeight="1" x14ac:dyDescent="0.25">
      <c r="A6" s="21" t="s">
        <v>104</v>
      </c>
      <c r="B6" s="25"/>
      <c r="C6" s="25"/>
      <c r="D6" s="25"/>
      <c r="E6" s="25"/>
      <c r="F6" s="25"/>
      <c r="G6" s="25"/>
      <c r="H6" s="25"/>
      <c r="I6" s="25"/>
      <c r="J6" s="25">
        <v>105162</v>
      </c>
      <c r="K6" s="25">
        <v>289046</v>
      </c>
      <c r="L6" s="25">
        <v>997928</v>
      </c>
      <c r="M6" s="25">
        <v>2488289</v>
      </c>
      <c r="N6" s="25">
        <v>621298.4</v>
      </c>
      <c r="O6" s="25">
        <v>63890</v>
      </c>
      <c r="P6" s="25"/>
      <c r="Q6" s="25">
        <v>212057</v>
      </c>
      <c r="R6" s="25">
        <v>41960</v>
      </c>
      <c r="S6" s="25"/>
      <c r="T6" s="25">
        <v>3023503.02</v>
      </c>
      <c r="U6" s="25"/>
      <c r="V6" s="25">
        <v>31892</v>
      </c>
      <c r="W6" s="25"/>
      <c r="X6" s="25"/>
      <c r="Y6" s="25">
        <v>501759</v>
      </c>
      <c r="Z6" s="25">
        <v>782368</v>
      </c>
      <c r="AA6" s="25"/>
      <c r="AB6" s="25">
        <v>38209</v>
      </c>
      <c r="AC6" s="25"/>
      <c r="AD6" s="25"/>
      <c r="AE6" s="25"/>
      <c r="AF6" s="25"/>
      <c r="AG6" s="25"/>
    </row>
    <row r="7" spans="1:33" ht="15" customHeight="1" x14ac:dyDescent="0.25">
      <c r="A7" s="21" t="s">
        <v>105</v>
      </c>
      <c r="B7" s="25"/>
      <c r="C7" s="25"/>
      <c r="D7" s="25">
        <v>23262</v>
      </c>
      <c r="E7" s="25"/>
      <c r="F7" s="25"/>
      <c r="G7" s="25"/>
      <c r="H7" s="25"/>
      <c r="I7" s="25"/>
      <c r="J7" s="25">
        <v>371416</v>
      </c>
      <c r="K7" s="25">
        <v>734</v>
      </c>
      <c r="L7" s="25"/>
      <c r="M7" s="25">
        <v>4165</v>
      </c>
      <c r="N7" s="25">
        <v>240777.31</v>
      </c>
      <c r="O7" s="25"/>
      <c r="P7" s="25"/>
      <c r="Q7" s="25">
        <v>42063</v>
      </c>
      <c r="R7" s="25">
        <v>4094</v>
      </c>
      <c r="S7" s="25"/>
      <c r="T7" s="25">
        <v>621192.91</v>
      </c>
      <c r="U7" s="25"/>
      <c r="V7" s="25">
        <v>12228</v>
      </c>
      <c r="W7" s="25"/>
      <c r="X7" s="25"/>
      <c r="Y7" s="25"/>
      <c r="Z7" s="25"/>
      <c r="AA7" s="25"/>
      <c r="AB7" s="25">
        <v>429411</v>
      </c>
      <c r="AC7" s="25"/>
      <c r="AD7" s="25"/>
      <c r="AE7" s="25"/>
      <c r="AF7" s="25"/>
      <c r="AG7" s="25">
        <v>155</v>
      </c>
    </row>
    <row r="8" spans="1:33" ht="30" customHeight="1" x14ac:dyDescent="0.25">
      <c r="A8" s="21" t="s">
        <v>103</v>
      </c>
      <c r="B8" s="25">
        <v>12421</v>
      </c>
      <c r="C8" s="25">
        <v>37460.699999999997</v>
      </c>
      <c r="D8" s="25">
        <v>711106</v>
      </c>
      <c r="E8" s="25">
        <v>358780</v>
      </c>
      <c r="F8" s="25">
        <v>181333</v>
      </c>
      <c r="G8" s="25">
        <v>337997</v>
      </c>
      <c r="H8" s="25">
        <v>40117.89</v>
      </c>
      <c r="I8" s="25">
        <v>6064</v>
      </c>
      <c r="J8" s="25"/>
      <c r="K8" s="25">
        <v>122781</v>
      </c>
      <c r="L8" s="25">
        <v>431195</v>
      </c>
      <c r="M8" s="25">
        <v>530431</v>
      </c>
      <c r="N8" s="25">
        <v>-4712.13</v>
      </c>
      <c r="O8" s="25">
        <v>11</v>
      </c>
      <c r="P8" s="25">
        <v>56864</v>
      </c>
      <c r="Q8" s="25"/>
      <c r="R8" s="25"/>
      <c r="S8" s="25">
        <v>26766</v>
      </c>
      <c r="T8" s="25"/>
      <c r="U8" s="25">
        <v>5524</v>
      </c>
      <c r="V8" s="25"/>
      <c r="W8" s="25">
        <v>296745</v>
      </c>
      <c r="X8" s="25">
        <v>13957</v>
      </c>
      <c r="Y8" s="25">
        <v>85671</v>
      </c>
      <c r="Z8" s="25"/>
      <c r="AA8" s="25">
        <v>38104</v>
      </c>
      <c r="AB8" s="25"/>
      <c r="AC8" s="25">
        <v>293388</v>
      </c>
      <c r="AD8" s="25">
        <v>388969</v>
      </c>
      <c r="AE8" s="25">
        <v>623584</v>
      </c>
      <c r="AF8" s="25">
        <v>1067170.94</v>
      </c>
      <c r="AG8" s="25">
        <v>119372</v>
      </c>
    </row>
    <row r="9" spans="1:33" s="35" customFormat="1" ht="15" customHeight="1" x14ac:dyDescent="0.25">
      <c r="A9" s="14" t="s">
        <v>106</v>
      </c>
      <c r="B9" s="34"/>
      <c r="C9" s="34">
        <v>5493.63</v>
      </c>
      <c r="D9" s="34">
        <v>11793</v>
      </c>
      <c r="E9" s="34">
        <v>59714</v>
      </c>
      <c r="F9" s="34">
        <v>3119</v>
      </c>
      <c r="G9" s="34">
        <v>12577</v>
      </c>
      <c r="H9" s="34">
        <v>14348.22</v>
      </c>
      <c r="I9" s="34">
        <v>2180</v>
      </c>
      <c r="J9" s="25">
        <v>8636</v>
      </c>
      <c r="K9" s="34">
        <v>9989</v>
      </c>
      <c r="L9" s="34"/>
      <c r="M9" s="34">
        <v>7128</v>
      </c>
      <c r="N9" s="34"/>
      <c r="O9" s="34">
        <v>3668</v>
      </c>
      <c r="P9" s="34">
        <v>696</v>
      </c>
      <c r="Q9" s="34"/>
      <c r="R9" s="34">
        <v>4877</v>
      </c>
      <c r="S9" s="34">
        <v>6773</v>
      </c>
      <c r="T9" s="34">
        <v>170194.13</v>
      </c>
      <c r="U9" s="25">
        <v>3774</v>
      </c>
      <c r="V9" s="34">
        <v>5401</v>
      </c>
      <c r="W9" s="34"/>
      <c r="X9" s="34">
        <v>7463</v>
      </c>
      <c r="Y9" s="34">
        <v>1580</v>
      </c>
      <c r="Z9" s="34">
        <v>2</v>
      </c>
      <c r="AA9" s="34">
        <v>7878</v>
      </c>
      <c r="AB9" s="25">
        <v>28559</v>
      </c>
      <c r="AC9" s="34">
        <v>-9405</v>
      </c>
      <c r="AD9" s="34">
        <v>-11049</v>
      </c>
      <c r="AE9" s="34">
        <v>1263187</v>
      </c>
      <c r="AF9" s="34">
        <v>160280.53</v>
      </c>
      <c r="AG9" s="34">
        <v>31694</v>
      </c>
    </row>
    <row r="10" spans="1:33" ht="15" customHeight="1" x14ac:dyDescent="0.25">
      <c r="A10" s="21" t="s">
        <v>107</v>
      </c>
      <c r="B10" s="25">
        <v>14982</v>
      </c>
      <c r="C10" s="25">
        <v>32647.89</v>
      </c>
      <c r="D10" s="25">
        <v>362488</v>
      </c>
      <c r="E10" s="25">
        <v>684149</v>
      </c>
      <c r="F10" s="25">
        <v>80095</v>
      </c>
      <c r="G10" s="25">
        <v>186140</v>
      </c>
      <c r="H10" s="25">
        <v>583890.9</v>
      </c>
      <c r="I10" s="25">
        <v>9208</v>
      </c>
      <c r="J10" s="25">
        <v>122124</v>
      </c>
      <c r="K10" s="25">
        <v>102220</v>
      </c>
      <c r="L10" s="25">
        <v>413186</v>
      </c>
      <c r="M10" s="25">
        <v>718979</v>
      </c>
      <c r="N10" s="25">
        <v>502634.78</v>
      </c>
      <c r="O10" s="25">
        <v>26506</v>
      </c>
      <c r="P10" s="25">
        <v>93786</v>
      </c>
      <c r="Q10" s="25">
        <v>53775</v>
      </c>
      <c r="R10" s="25">
        <v>38213</v>
      </c>
      <c r="S10" s="25">
        <v>64643</v>
      </c>
      <c r="T10" s="25">
        <v>89414.42</v>
      </c>
      <c r="U10" s="25">
        <v>7341</v>
      </c>
      <c r="V10" s="25">
        <v>16679</v>
      </c>
      <c r="W10" s="25">
        <v>285462</v>
      </c>
      <c r="X10" s="25">
        <v>111863</v>
      </c>
      <c r="Y10" s="25">
        <v>126945</v>
      </c>
      <c r="Z10" s="25">
        <v>291742</v>
      </c>
      <c r="AA10" s="25">
        <v>195873</v>
      </c>
      <c r="AB10" s="25">
        <v>348641</v>
      </c>
      <c r="AC10" s="25">
        <v>377817</v>
      </c>
      <c r="AD10" s="25">
        <v>1863187</v>
      </c>
      <c r="AE10" s="25">
        <v>226228</v>
      </c>
      <c r="AF10" s="25">
        <v>495440.86</v>
      </c>
      <c r="AG10" s="25">
        <v>55228</v>
      </c>
    </row>
    <row r="11" spans="1:33" ht="30" customHeight="1" x14ac:dyDescent="0.25">
      <c r="A11" s="21" t="s">
        <v>108</v>
      </c>
      <c r="B11" s="25">
        <v>3889</v>
      </c>
      <c r="C11" s="25"/>
      <c r="D11" s="25">
        <v>673</v>
      </c>
      <c r="E11" s="25">
        <v>91578</v>
      </c>
      <c r="F11" s="25">
        <v>5415</v>
      </c>
      <c r="G11" s="25">
        <v>32245</v>
      </c>
      <c r="H11" s="25">
        <v>30264.37</v>
      </c>
      <c r="I11" s="25">
        <v>1192</v>
      </c>
      <c r="J11" s="25">
        <v>38877</v>
      </c>
      <c r="K11" s="25"/>
      <c r="L11" s="25">
        <v>55870</v>
      </c>
      <c r="M11" s="25">
        <v>27091</v>
      </c>
      <c r="N11" s="25">
        <v>246110.84</v>
      </c>
      <c r="O11" s="25">
        <v>9884</v>
      </c>
      <c r="P11" s="25">
        <v>17867</v>
      </c>
      <c r="Q11" s="25">
        <v>15147</v>
      </c>
      <c r="R11" s="25">
        <v>9216</v>
      </c>
      <c r="S11" s="25">
        <v>31883</v>
      </c>
      <c r="T11" s="25"/>
      <c r="U11" s="25">
        <v>0.01</v>
      </c>
      <c r="V11" s="25">
        <v>4584</v>
      </c>
      <c r="W11" s="25">
        <v>76144</v>
      </c>
      <c r="X11" s="25">
        <v>26637</v>
      </c>
      <c r="Y11" s="25"/>
      <c r="Z11" s="25">
        <v>37554</v>
      </c>
      <c r="AA11" s="25">
        <v>15083</v>
      </c>
      <c r="AB11" s="25">
        <v>54955</v>
      </c>
      <c r="AC11" s="25">
        <v>60481</v>
      </c>
      <c r="AD11" s="25">
        <v>437737</v>
      </c>
      <c r="AE11" s="25">
        <v>951372</v>
      </c>
      <c r="AF11" s="25">
        <v>50985.54</v>
      </c>
      <c r="AG11" s="25">
        <v>11718</v>
      </c>
    </row>
    <row r="12" spans="1:33" s="35" customFormat="1" x14ac:dyDescent="0.25">
      <c r="A12" s="14" t="s">
        <v>109</v>
      </c>
      <c r="B12" s="34">
        <v>11093</v>
      </c>
      <c r="C12" s="34">
        <v>32647.89</v>
      </c>
      <c r="D12" s="34">
        <v>361815</v>
      </c>
      <c r="E12" s="34">
        <v>592571</v>
      </c>
      <c r="F12" s="34">
        <v>74681</v>
      </c>
      <c r="G12" s="34">
        <v>153895</v>
      </c>
      <c r="H12" s="34">
        <v>553626.53</v>
      </c>
      <c r="I12" s="34">
        <v>8016</v>
      </c>
      <c r="J12" s="25">
        <v>83247</v>
      </c>
      <c r="K12" s="34">
        <v>102220</v>
      </c>
      <c r="L12" s="34">
        <v>357315</v>
      </c>
      <c r="M12" s="34">
        <v>691888</v>
      </c>
      <c r="N12" s="34">
        <v>256523.95</v>
      </c>
      <c r="O12" s="34">
        <v>16622</v>
      </c>
      <c r="P12" s="34">
        <v>75918</v>
      </c>
      <c r="Q12" s="34">
        <v>38629</v>
      </c>
      <c r="R12" s="34">
        <v>28998</v>
      </c>
      <c r="S12" s="34">
        <v>32760</v>
      </c>
      <c r="T12" s="96">
        <v>89414.420000000013</v>
      </c>
      <c r="U12" s="34">
        <v>7341</v>
      </c>
      <c r="V12" s="34">
        <v>12095</v>
      </c>
      <c r="W12" s="34">
        <v>209318</v>
      </c>
      <c r="X12" s="34">
        <v>85226</v>
      </c>
      <c r="Y12" s="34">
        <v>126945</v>
      </c>
      <c r="Z12" s="34">
        <v>254188</v>
      </c>
      <c r="AA12" s="34">
        <v>180791</v>
      </c>
      <c r="AB12" s="25">
        <v>293687</v>
      </c>
      <c r="AC12" s="34">
        <v>317336</v>
      </c>
      <c r="AD12" s="34">
        <v>1425450</v>
      </c>
      <c r="AE12" s="34">
        <v>-725144</v>
      </c>
      <c r="AF12" s="34">
        <v>444455.32</v>
      </c>
      <c r="AG12" s="34">
        <v>43510</v>
      </c>
    </row>
    <row r="13" spans="1:33" s="7" customFormat="1" ht="15" customHeight="1" x14ac:dyDescent="0.25">
      <c r="A13" s="3" t="s">
        <v>110</v>
      </c>
      <c r="B13" s="10">
        <v>11093</v>
      </c>
      <c r="C13" s="10">
        <v>38141.519999999997</v>
      </c>
      <c r="D13" s="10">
        <v>373608</v>
      </c>
      <c r="E13" s="10">
        <v>652285</v>
      </c>
      <c r="F13" s="10">
        <v>77799</v>
      </c>
      <c r="G13" s="10">
        <v>166472</v>
      </c>
      <c r="H13" s="10">
        <v>567974.75</v>
      </c>
      <c r="I13" s="10">
        <v>10196</v>
      </c>
      <c r="J13" s="25">
        <v>91883</v>
      </c>
      <c r="K13" s="10">
        <v>112209</v>
      </c>
      <c r="L13" s="10">
        <v>357315</v>
      </c>
      <c r="M13" s="10">
        <v>699016</v>
      </c>
      <c r="N13" s="10">
        <v>256523.95</v>
      </c>
      <c r="O13" s="10">
        <v>20291</v>
      </c>
      <c r="P13" s="10">
        <v>76614</v>
      </c>
      <c r="Q13" s="10">
        <v>38629</v>
      </c>
      <c r="R13" s="10">
        <v>33875</v>
      </c>
      <c r="S13" s="10">
        <v>39533</v>
      </c>
      <c r="T13" s="10">
        <v>259607.55</v>
      </c>
      <c r="U13" s="10">
        <v>11115</v>
      </c>
      <c r="V13" s="10">
        <v>17496</v>
      </c>
      <c r="W13" s="10">
        <v>209318</v>
      </c>
      <c r="X13" s="10">
        <v>92689</v>
      </c>
      <c r="Y13" s="10">
        <v>128525</v>
      </c>
      <c r="Z13" s="10">
        <v>254190</v>
      </c>
      <c r="AA13" s="10">
        <v>188669</v>
      </c>
      <c r="AB13" s="25">
        <v>322246</v>
      </c>
      <c r="AC13" s="10">
        <v>307931</v>
      </c>
      <c r="AD13" s="10">
        <v>1414402</v>
      </c>
      <c r="AE13" s="10">
        <v>538043</v>
      </c>
      <c r="AF13" s="10">
        <v>604735.85</v>
      </c>
      <c r="AG13" s="10">
        <v>75204</v>
      </c>
    </row>
    <row r="14" spans="1:33" s="7" customFormat="1" ht="14.25" customHeight="1" x14ac:dyDescent="0.25">
      <c r="A14" s="3" t="s">
        <v>111</v>
      </c>
      <c r="B14" s="10">
        <v>5753</v>
      </c>
      <c r="C14" s="10">
        <v>18221.22</v>
      </c>
      <c r="D14" s="10">
        <v>162925</v>
      </c>
      <c r="E14" s="10">
        <v>197794</v>
      </c>
      <c r="F14" s="10">
        <v>50172</v>
      </c>
      <c r="G14" s="10">
        <v>82877</v>
      </c>
      <c r="H14" s="10">
        <v>35560.379999999997</v>
      </c>
      <c r="I14" s="10">
        <v>5000</v>
      </c>
      <c r="J14" s="25">
        <v>56492</v>
      </c>
      <c r="K14" s="10">
        <v>47339</v>
      </c>
      <c r="L14" s="10">
        <v>180223</v>
      </c>
      <c r="M14" s="10">
        <v>253467</v>
      </c>
      <c r="N14" s="10">
        <v>146218.63</v>
      </c>
      <c r="O14" s="10">
        <v>9041</v>
      </c>
      <c r="P14" s="10">
        <v>27294</v>
      </c>
      <c r="Q14" s="10">
        <v>21344</v>
      </c>
      <c r="R14" s="10">
        <v>13071</v>
      </c>
      <c r="S14" s="10">
        <v>24030</v>
      </c>
      <c r="T14" s="10">
        <v>373349</v>
      </c>
      <c r="U14" s="10">
        <v>5000</v>
      </c>
      <c r="V14" s="10">
        <v>5000</v>
      </c>
      <c r="W14" s="10">
        <v>126605</v>
      </c>
      <c r="X14" s="10">
        <v>36786</v>
      </c>
      <c r="Y14" s="10">
        <v>59510</v>
      </c>
      <c r="Z14" s="10">
        <v>115191</v>
      </c>
      <c r="AA14" s="10">
        <v>52287</v>
      </c>
      <c r="AB14" s="25">
        <v>129426</v>
      </c>
      <c r="AC14" s="10">
        <v>141812</v>
      </c>
      <c r="AD14" s="10">
        <v>659017</v>
      </c>
      <c r="AE14" s="10">
        <v>350912</v>
      </c>
      <c r="AF14" s="10">
        <v>439734.35</v>
      </c>
      <c r="AG14" s="10">
        <v>48630</v>
      </c>
    </row>
    <row r="15" spans="1:33" s="33" customFormat="1" ht="14.25" customHeight="1" x14ac:dyDescent="0.25">
      <c r="A15" s="15" t="s">
        <v>112</v>
      </c>
      <c r="B15" s="32">
        <v>1.93</v>
      </c>
      <c r="C15" s="32">
        <v>2.09</v>
      </c>
      <c r="D15" s="32">
        <v>2.29</v>
      </c>
      <c r="E15" s="32">
        <v>3.3</v>
      </c>
      <c r="F15" s="32">
        <v>1.55</v>
      </c>
      <c r="G15" s="32">
        <v>2.0089999999999999</v>
      </c>
      <c r="H15" s="32">
        <v>15.97</v>
      </c>
      <c r="I15" s="32">
        <v>2.04</v>
      </c>
      <c r="J15" s="32">
        <v>1.63</v>
      </c>
      <c r="K15" s="32">
        <v>2.37</v>
      </c>
      <c r="L15" s="32">
        <v>1.98</v>
      </c>
      <c r="M15" s="32">
        <v>2.76</v>
      </c>
      <c r="N15" s="32">
        <v>1.75</v>
      </c>
      <c r="O15" s="32">
        <v>2.2400000000000002</v>
      </c>
      <c r="P15" s="32">
        <v>2.81</v>
      </c>
      <c r="Q15" s="32">
        <v>1.81</v>
      </c>
      <c r="R15" s="32">
        <v>2.5916999999999999</v>
      </c>
      <c r="S15" s="32">
        <v>1.65</v>
      </c>
      <c r="T15" s="32">
        <v>0.7</v>
      </c>
      <c r="U15" s="32">
        <v>2.2200000000000002</v>
      </c>
      <c r="V15" s="32">
        <v>3.5</v>
      </c>
      <c r="W15" s="32">
        <v>1.65</v>
      </c>
      <c r="X15" s="32">
        <v>2.52</v>
      </c>
      <c r="Y15" s="32">
        <v>2.16</v>
      </c>
      <c r="Z15" s="32">
        <v>2.21</v>
      </c>
      <c r="AA15" s="32">
        <v>3.61</v>
      </c>
      <c r="AB15" s="32">
        <v>2.4900000000000002</v>
      </c>
      <c r="AC15" s="32">
        <v>2.17</v>
      </c>
      <c r="AD15" s="32">
        <v>2.15</v>
      </c>
      <c r="AE15" s="32">
        <v>1.53</v>
      </c>
      <c r="AF15" s="32">
        <v>1.38</v>
      </c>
      <c r="AG15" s="32">
        <v>1.55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6" width="16" style="6" customWidth="1"/>
    <col min="27" max="27" width="16" style="42" customWidth="1"/>
    <col min="28" max="28" width="16" style="6" customWidth="1"/>
    <col min="29" max="29" width="16" style="42" customWidth="1"/>
    <col min="30" max="58" width="16" style="6" customWidth="1"/>
    <col min="59" max="59" width="16" style="42" customWidth="1"/>
    <col min="60" max="60" width="16" style="6" customWidth="1"/>
    <col min="61" max="61" width="16" style="42" customWidth="1"/>
    <col min="62" max="114" width="16" style="6" customWidth="1"/>
    <col min="115" max="115" width="16" style="42" customWidth="1"/>
    <col min="116" max="116" width="16" style="6" customWidth="1"/>
    <col min="117" max="117" width="16" style="42" customWidth="1"/>
    <col min="118" max="129" width="16" style="6" customWidth="1"/>
    <col min="130" max="16384" width="9.140625" style="6"/>
  </cols>
  <sheetData>
    <row r="1" spans="1:129" ht="18.75" x14ac:dyDescent="0.3">
      <c r="A1" s="12" t="s">
        <v>113</v>
      </c>
    </row>
    <row r="2" spans="1:129" x14ac:dyDescent="0.25">
      <c r="A2" s="6" t="s">
        <v>114</v>
      </c>
    </row>
    <row r="3" spans="1:129" x14ac:dyDescent="0.25">
      <c r="A3" s="1" t="s">
        <v>0</v>
      </c>
      <c r="B3" s="116" t="s">
        <v>1</v>
      </c>
      <c r="C3" s="116"/>
      <c r="D3" s="116"/>
      <c r="E3" s="116"/>
      <c r="F3" s="116" t="s">
        <v>282</v>
      </c>
      <c r="G3" s="116"/>
      <c r="H3" s="116"/>
      <c r="I3" s="116"/>
      <c r="J3" s="116" t="s">
        <v>2</v>
      </c>
      <c r="K3" s="116"/>
      <c r="L3" s="116"/>
      <c r="M3" s="116"/>
      <c r="N3" s="116" t="s">
        <v>3</v>
      </c>
      <c r="O3" s="116"/>
      <c r="P3" s="116"/>
      <c r="Q3" s="116"/>
      <c r="R3" s="116" t="s">
        <v>4</v>
      </c>
      <c r="S3" s="116"/>
      <c r="T3" s="116"/>
      <c r="U3" s="116"/>
      <c r="V3" s="116" t="s">
        <v>283</v>
      </c>
      <c r="W3" s="116"/>
      <c r="X3" s="116"/>
      <c r="Y3" s="116"/>
      <c r="Z3" s="116" t="s">
        <v>6</v>
      </c>
      <c r="AA3" s="116"/>
      <c r="AB3" s="116"/>
      <c r="AC3" s="116"/>
      <c r="AD3" s="116" t="s">
        <v>5</v>
      </c>
      <c r="AE3" s="116"/>
      <c r="AF3" s="116"/>
      <c r="AG3" s="116"/>
      <c r="AH3" s="116" t="s">
        <v>7</v>
      </c>
      <c r="AI3" s="116"/>
      <c r="AJ3" s="116"/>
      <c r="AK3" s="116"/>
      <c r="AL3" s="116" t="s">
        <v>284</v>
      </c>
      <c r="AM3" s="116"/>
      <c r="AN3" s="116"/>
      <c r="AO3" s="116"/>
      <c r="AP3" s="116" t="s">
        <v>8</v>
      </c>
      <c r="AQ3" s="116"/>
      <c r="AR3" s="116"/>
      <c r="AS3" s="116"/>
      <c r="AT3" s="116" t="s">
        <v>9</v>
      </c>
      <c r="AU3" s="116"/>
      <c r="AV3" s="116"/>
      <c r="AW3" s="116"/>
      <c r="AX3" s="116" t="s">
        <v>10</v>
      </c>
      <c r="AY3" s="116"/>
      <c r="AZ3" s="116"/>
      <c r="BA3" s="116"/>
      <c r="BB3" s="116" t="s">
        <v>304</v>
      </c>
      <c r="BC3" s="116"/>
      <c r="BD3" s="116"/>
      <c r="BE3" s="116"/>
      <c r="BF3" s="116" t="s">
        <v>11</v>
      </c>
      <c r="BG3" s="116"/>
      <c r="BH3" s="116"/>
      <c r="BI3" s="116"/>
      <c r="BJ3" s="116" t="s">
        <v>12</v>
      </c>
      <c r="BK3" s="116"/>
      <c r="BL3" s="116"/>
      <c r="BM3" s="116"/>
      <c r="BN3" s="116" t="s">
        <v>285</v>
      </c>
      <c r="BO3" s="116"/>
      <c r="BP3" s="116"/>
      <c r="BQ3" s="116"/>
      <c r="BR3" s="116" t="s">
        <v>290</v>
      </c>
      <c r="BS3" s="116"/>
      <c r="BT3" s="116"/>
      <c r="BU3" s="116"/>
      <c r="BV3" s="116" t="s">
        <v>13</v>
      </c>
      <c r="BW3" s="116"/>
      <c r="BX3" s="116"/>
      <c r="BY3" s="116"/>
      <c r="BZ3" s="116" t="s">
        <v>286</v>
      </c>
      <c r="CA3" s="116"/>
      <c r="CB3" s="116"/>
      <c r="CC3" s="116"/>
      <c r="CD3" s="116" t="s">
        <v>287</v>
      </c>
      <c r="CE3" s="116"/>
      <c r="CF3" s="116"/>
      <c r="CG3" s="116"/>
      <c r="CH3" s="116" t="s">
        <v>291</v>
      </c>
      <c r="CI3" s="116"/>
      <c r="CJ3" s="116"/>
      <c r="CK3" s="116"/>
      <c r="CL3" s="116" t="s">
        <v>305</v>
      </c>
      <c r="CM3" s="116"/>
      <c r="CN3" s="116"/>
      <c r="CO3" s="116"/>
      <c r="CP3" s="116" t="s">
        <v>14</v>
      </c>
      <c r="CQ3" s="116"/>
      <c r="CR3" s="116"/>
      <c r="CS3" s="116"/>
      <c r="CT3" s="116" t="s">
        <v>15</v>
      </c>
      <c r="CU3" s="116"/>
      <c r="CV3" s="116"/>
      <c r="CW3" s="116"/>
      <c r="CX3" s="116" t="s">
        <v>16</v>
      </c>
      <c r="CY3" s="116"/>
      <c r="CZ3" s="116"/>
      <c r="DA3" s="116"/>
      <c r="DB3" s="116" t="s">
        <v>17</v>
      </c>
      <c r="DC3" s="116"/>
      <c r="DD3" s="116"/>
      <c r="DE3" s="116"/>
      <c r="DF3" s="116" t="s">
        <v>18</v>
      </c>
      <c r="DG3" s="116"/>
      <c r="DH3" s="116"/>
      <c r="DI3" s="116"/>
      <c r="DJ3" s="116" t="s">
        <v>288</v>
      </c>
      <c r="DK3" s="116"/>
      <c r="DL3" s="116"/>
      <c r="DM3" s="116"/>
      <c r="DN3" s="116" t="s">
        <v>289</v>
      </c>
      <c r="DO3" s="116"/>
      <c r="DP3" s="116"/>
      <c r="DQ3" s="116"/>
      <c r="DR3" s="117" t="s">
        <v>19</v>
      </c>
      <c r="DS3" s="117"/>
      <c r="DT3" s="117"/>
      <c r="DU3" s="117"/>
      <c r="DV3" s="108" t="s">
        <v>20</v>
      </c>
      <c r="DW3" s="108"/>
      <c r="DX3" s="108"/>
      <c r="DY3" s="108"/>
    </row>
    <row r="4" spans="1:129" ht="15" customHeight="1" x14ac:dyDescent="0.25">
      <c r="A4" s="1"/>
      <c r="B4" s="112" t="s">
        <v>293</v>
      </c>
      <c r="C4" s="112"/>
      <c r="D4" s="115" t="s">
        <v>294</v>
      </c>
      <c r="E4" s="115"/>
      <c r="F4" s="112" t="s">
        <v>293</v>
      </c>
      <c r="G4" s="112"/>
      <c r="H4" s="115" t="s">
        <v>294</v>
      </c>
      <c r="I4" s="115"/>
      <c r="J4" s="112" t="s">
        <v>293</v>
      </c>
      <c r="K4" s="112"/>
      <c r="L4" s="115" t="s">
        <v>294</v>
      </c>
      <c r="M4" s="115"/>
      <c r="N4" s="112" t="s">
        <v>293</v>
      </c>
      <c r="O4" s="112"/>
      <c r="P4" s="115" t="s">
        <v>294</v>
      </c>
      <c r="Q4" s="115"/>
      <c r="R4" s="112" t="s">
        <v>293</v>
      </c>
      <c r="S4" s="112"/>
      <c r="T4" s="115" t="s">
        <v>294</v>
      </c>
      <c r="U4" s="115"/>
      <c r="V4" s="112" t="s">
        <v>293</v>
      </c>
      <c r="W4" s="112"/>
      <c r="X4" s="115" t="s">
        <v>294</v>
      </c>
      <c r="Y4" s="115"/>
      <c r="Z4" s="112" t="s">
        <v>293</v>
      </c>
      <c r="AA4" s="112"/>
      <c r="AB4" s="115" t="s">
        <v>294</v>
      </c>
      <c r="AC4" s="115"/>
      <c r="AD4" s="112" t="s">
        <v>293</v>
      </c>
      <c r="AE4" s="112"/>
      <c r="AF4" s="115" t="s">
        <v>294</v>
      </c>
      <c r="AG4" s="115"/>
      <c r="AH4" s="112" t="s">
        <v>293</v>
      </c>
      <c r="AI4" s="112"/>
      <c r="AJ4" s="115" t="s">
        <v>294</v>
      </c>
      <c r="AK4" s="115"/>
      <c r="AL4" s="112" t="s">
        <v>293</v>
      </c>
      <c r="AM4" s="112"/>
      <c r="AN4" s="115" t="s">
        <v>294</v>
      </c>
      <c r="AO4" s="115"/>
      <c r="AP4" s="112" t="s">
        <v>293</v>
      </c>
      <c r="AQ4" s="112"/>
      <c r="AR4" s="115" t="s">
        <v>294</v>
      </c>
      <c r="AS4" s="115"/>
      <c r="AT4" s="112" t="s">
        <v>293</v>
      </c>
      <c r="AU4" s="112"/>
      <c r="AV4" s="115" t="s">
        <v>294</v>
      </c>
      <c r="AW4" s="115"/>
      <c r="AX4" s="112" t="s">
        <v>293</v>
      </c>
      <c r="AY4" s="112"/>
      <c r="AZ4" s="115" t="s">
        <v>294</v>
      </c>
      <c r="BA4" s="115"/>
      <c r="BB4" s="112" t="s">
        <v>293</v>
      </c>
      <c r="BC4" s="112"/>
      <c r="BD4" s="115" t="s">
        <v>294</v>
      </c>
      <c r="BE4" s="115"/>
      <c r="BF4" s="112" t="s">
        <v>293</v>
      </c>
      <c r="BG4" s="112"/>
      <c r="BH4" s="115" t="s">
        <v>294</v>
      </c>
      <c r="BI4" s="115"/>
      <c r="BJ4" s="112" t="s">
        <v>293</v>
      </c>
      <c r="BK4" s="112"/>
      <c r="BL4" s="115" t="s">
        <v>294</v>
      </c>
      <c r="BM4" s="115"/>
      <c r="BN4" s="112" t="s">
        <v>293</v>
      </c>
      <c r="BO4" s="112"/>
      <c r="BP4" s="115" t="s">
        <v>294</v>
      </c>
      <c r="BQ4" s="115"/>
      <c r="BR4" s="112" t="s">
        <v>293</v>
      </c>
      <c r="BS4" s="112"/>
      <c r="BT4" s="115" t="s">
        <v>294</v>
      </c>
      <c r="BU4" s="115"/>
      <c r="BV4" s="112" t="s">
        <v>293</v>
      </c>
      <c r="BW4" s="112"/>
      <c r="BX4" s="115" t="s">
        <v>294</v>
      </c>
      <c r="BY4" s="115"/>
      <c r="BZ4" s="112" t="s">
        <v>293</v>
      </c>
      <c r="CA4" s="112"/>
      <c r="CB4" s="115" t="s">
        <v>294</v>
      </c>
      <c r="CC4" s="115"/>
      <c r="CD4" s="112" t="s">
        <v>293</v>
      </c>
      <c r="CE4" s="112"/>
      <c r="CF4" s="115" t="s">
        <v>294</v>
      </c>
      <c r="CG4" s="115"/>
      <c r="CH4" s="112" t="s">
        <v>293</v>
      </c>
      <c r="CI4" s="112"/>
      <c r="CJ4" s="115" t="s">
        <v>294</v>
      </c>
      <c r="CK4" s="115"/>
      <c r="CL4" s="112" t="s">
        <v>293</v>
      </c>
      <c r="CM4" s="112"/>
      <c r="CN4" s="115" t="s">
        <v>294</v>
      </c>
      <c r="CO4" s="115"/>
      <c r="CP4" s="112" t="s">
        <v>293</v>
      </c>
      <c r="CQ4" s="112"/>
      <c r="CR4" s="115" t="s">
        <v>294</v>
      </c>
      <c r="CS4" s="115"/>
      <c r="CT4" s="112" t="s">
        <v>293</v>
      </c>
      <c r="CU4" s="112"/>
      <c r="CV4" s="115" t="s">
        <v>294</v>
      </c>
      <c r="CW4" s="115"/>
      <c r="CX4" s="112" t="s">
        <v>293</v>
      </c>
      <c r="CY4" s="112"/>
      <c r="CZ4" s="115" t="s">
        <v>294</v>
      </c>
      <c r="DA4" s="115"/>
      <c r="DB4" s="112" t="s">
        <v>293</v>
      </c>
      <c r="DC4" s="112"/>
      <c r="DD4" s="115" t="s">
        <v>294</v>
      </c>
      <c r="DE4" s="115"/>
      <c r="DF4" s="112" t="s">
        <v>293</v>
      </c>
      <c r="DG4" s="112"/>
      <c r="DH4" s="115" t="s">
        <v>294</v>
      </c>
      <c r="DI4" s="115"/>
      <c r="DJ4" s="112" t="s">
        <v>293</v>
      </c>
      <c r="DK4" s="112"/>
      <c r="DL4" s="115" t="s">
        <v>294</v>
      </c>
      <c r="DM4" s="115"/>
      <c r="DN4" s="112" t="s">
        <v>293</v>
      </c>
      <c r="DO4" s="112"/>
      <c r="DP4" s="115" t="s">
        <v>294</v>
      </c>
      <c r="DQ4" s="115"/>
      <c r="DR4" s="112" t="s">
        <v>293</v>
      </c>
      <c r="DS4" s="112"/>
      <c r="DT4" s="115" t="s">
        <v>294</v>
      </c>
      <c r="DU4" s="115"/>
      <c r="DV4" s="112" t="s">
        <v>293</v>
      </c>
      <c r="DW4" s="112"/>
      <c r="DX4" s="115" t="s">
        <v>294</v>
      </c>
      <c r="DY4" s="115"/>
    </row>
    <row r="5" spans="1:129" s="62" customFormat="1" x14ac:dyDescent="0.25">
      <c r="A5" s="61"/>
      <c r="B5" s="101" t="s">
        <v>124</v>
      </c>
      <c r="C5" s="101" t="s">
        <v>125</v>
      </c>
      <c r="D5" s="101" t="s">
        <v>124</v>
      </c>
      <c r="E5" s="101" t="s">
        <v>125</v>
      </c>
      <c r="F5" s="101" t="s">
        <v>124</v>
      </c>
      <c r="G5" s="101" t="s">
        <v>125</v>
      </c>
      <c r="H5" s="101" t="s">
        <v>124</v>
      </c>
      <c r="I5" s="101" t="s">
        <v>125</v>
      </c>
      <c r="J5" s="101" t="s">
        <v>124</v>
      </c>
      <c r="K5" s="101" t="s">
        <v>125</v>
      </c>
      <c r="L5" s="101" t="s">
        <v>124</v>
      </c>
      <c r="M5" s="101" t="s">
        <v>125</v>
      </c>
      <c r="N5" s="101" t="s">
        <v>124</v>
      </c>
      <c r="O5" s="101" t="s">
        <v>125</v>
      </c>
      <c r="P5" s="101" t="s">
        <v>124</v>
      </c>
      <c r="Q5" s="101" t="s">
        <v>125</v>
      </c>
      <c r="R5" s="101" t="s">
        <v>124</v>
      </c>
      <c r="S5" s="101" t="s">
        <v>125</v>
      </c>
      <c r="T5" s="101" t="s">
        <v>124</v>
      </c>
      <c r="U5" s="101" t="s">
        <v>125</v>
      </c>
      <c r="V5" s="101" t="s">
        <v>124</v>
      </c>
      <c r="W5" s="101" t="s">
        <v>125</v>
      </c>
      <c r="X5" s="101" t="s">
        <v>124</v>
      </c>
      <c r="Y5" s="101" t="s">
        <v>125</v>
      </c>
      <c r="Z5" s="101" t="s">
        <v>124</v>
      </c>
      <c r="AA5" s="101" t="s">
        <v>125</v>
      </c>
      <c r="AB5" s="101" t="s">
        <v>124</v>
      </c>
      <c r="AC5" s="101" t="s">
        <v>125</v>
      </c>
      <c r="AD5" s="101" t="s">
        <v>124</v>
      </c>
      <c r="AE5" s="101" t="s">
        <v>125</v>
      </c>
      <c r="AF5" s="101" t="s">
        <v>124</v>
      </c>
      <c r="AG5" s="101" t="s">
        <v>125</v>
      </c>
      <c r="AH5" s="101" t="s">
        <v>124</v>
      </c>
      <c r="AI5" s="101" t="s">
        <v>125</v>
      </c>
      <c r="AJ5" s="101" t="s">
        <v>124</v>
      </c>
      <c r="AK5" s="101" t="s">
        <v>125</v>
      </c>
      <c r="AL5" s="101" t="s">
        <v>124</v>
      </c>
      <c r="AM5" s="101" t="s">
        <v>125</v>
      </c>
      <c r="AN5" s="101" t="s">
        <v>124</v>
      </c>
      <c r="AO5" s="101" t="s">
        <v>125</v>
      </c>
      <c r="AP5" s="101" t="s">
        <v>124</v>
      </c>
      <c r="AQ5" s="101" t="s">
        <v>125</v>
      </c>
      <c r="AR5" s="101" t="s">
        <v>124</v>
      </c>
      <c r="AS5" s="101" t="s">
        <v>125</v>
      </c>
      <c r="AT5" s="101" t="s">
        <v>124</v>
      </c>
      <c r="AU5" s="101" t="s">
        <v>125</v>
      </c>
      <c r="AV5" s="101" t="s">
        <v>124</v>
      </c>
      <c r="AW5" s="101" t="s">
        <v>125</v>
      </c>
      <c r="AX5" s="101" t="s">
        <v>124</v>
      </c>
      <c r="AY5" s="101" t="s">
        <v>125</v>
      </c>
      <c r="AZ5" s="101" t="s">
        <v>124</v>
      </c>
      <c r="BA5" s="101" t="s">
        <v>125</v>
      </c>
      <c r="BB5" s="101" t="s">
        <v>124</v>
      </c>
      <c r="BC5" s="101" t="s">
        <v>125</v>
      </c>
      <c r="BD5" s="101" t="s">
        <v>124</v>
      </c>
      <c r="BE5" s="101" t="s">
        <v>125</v>
      </c>
      <c r="BF5" s="101" t="s">
        <v>124</v>
      </c>
      <c r="BG5" s="101" t="s">
        <v>125</v>
      </c>
      <c r="BH5" s="101" t="s">
        <v>124</v>
      </c>
      <c r="BI5" s="101" t="s">
        <v>125</v>
      </c>
      <c r="BJ5" s="101" t="s">
        <v>124</v>
      </c>
      <c r="BK5" s="101" t="s">
        <v>125</v>
      </c>
      <c r="BL5" s="101" t="s">
        <v>124</v>
      </c>
      <c r="BM5" s="101" t="s">
        <v>125</v>
      </c>
      <c r="BN5" s="101" t="s">
        <v>124</v>
      </c>
      <c r="BO5" s="101" t="s">
        <v>125</v>
      </c>
      <c r="BP5" s="101" t="s">
        <v>124</v>
      </c>
      <c r="BQ5" s="101" t="s">
        <v>125</v>
      </c>
      <c r="BR5" s="101" t="s">
        <v>124</v>
      </c>
      <c r="BS5" s="101" t="s">
        <v>125</v>
      </c>
      <c r="BT5" s="101" t="s">
        <v>124</v>
      </c>
      <c r="BU5" s="101" t="s">
        <v>125</v>
      </c>
      <c r="BV5" s="101" t="s">
        <v>124</v>
      </c>
      <c r="BW5" s="101" t="s">
        <v>125</v>
      </c>
      <c r="BX5" s="101" t="s">
        <v>124</v>
      </c>
      <c r="BY5" s="101" t="s">
        <v>125</v>
      </c>
      <c r="BZ5" s="101" t="s">
        <v>124</v>
      </c>
      <c r="CA5" s="101" t="s">
        <v>125</v>
      </c>
      <c r="CB5" s="101" t="s">
        <v>124</v>
      </c>
      <c r="CC5" s="101" t="s">
        <v>125</v>
      </c>
      <c r="CD5" s="101" t="s">
        <v>124</v>
      </c>
      <c r="CE5" s="101" t="s">
        <v>125</v>
      </c>
      <c r="CF5" s="101" t="s">
        <v>124</v>
      </c>
      <c r="CG5" s="101" t="s">
        <v>125</v>
      </c>
      <c r="CH5" s="101" t="s">
        <v>124</v>
      </c>
      <c r="CI5" s="101" t="s">
        <v>125</v>
      </c>
      <c r="CJ5" s="101" t="s">
        <v>124</v>
      </c>
      <c r="CK5" s="101" t="s">
        <v>125</v>
      </c>
      <c r="CL5" s="101" t="s">
        <v>124</v>
      </c>
      <c r="CM5" s="101" t="s">
        <v>125</v>
      </c>
      <c r="CN5" s="101" t="s">
        <v>124</v>
      </c>
      <c r="CO5" s="101" t="s">
        <v>125</v>
      </c>
      <c r="CP5" s="101" t="s">
        <v>124</v>
      </c>
      <c r="CQ5" s="101" t="s">
        <v>125</v>
      </c>
      <c r="CR5" s="101" t="s">
        <v>124</v>
      </c>
      <c r="CS5" s="101" t="s">
        <v>125</v>
      </c>
      <c r="CT5" s="101" t="s">
        <v>124</v>
      </c>
      <c r="CU5" s="101" t="s">
        <v>125</v>
      </c>
      <c r="CV5" s="101" t="s">
        <v>124</v>
      </c>
      <c r="CW5" s="101" t="s">
        <v>125</v>
      </c>
      <c r="CX5" s="101" t="s">
        <v>124</v>
      </c>
      <c r="CY5" s="101" t="s">
        <v>125</v>
      </c>
      <c r="CZ5" s="101" t="s">
        <v>124</v>
      </c>
      <c r="DA5" s="101" t="s">
        <v>125</v>
      </c>
      <c r="DB5" s="101" t="s">
        <v>124</v>
      </c>
      <c r="DC5" s="101" t="s">
        <v>125</v>
      </c>
      <c r="DD5" s="101" t="s">
        <v>124</v>
      </c>
      <c r="DE5" s="101" t="s">
        <v>125</v>
      </c>
      <c r="DF5" s="101" t="s">
        <v>124</v>
      </c>
      <c r="DG5" s="101" t="s">
        <v>125</v>
      </c>
      <c r="DH5" s="101" t="s">
        <v>124</v>
      </c>
      <c r="DI5" s="101" t="s">
        <v>125</v>
      </c>
      <c r="DJ5" s="101" t="s">
        <v>124</v>
      </c>
      <c r="DK5" s="101" t="s">
        <v>125</v>
      </c>
      <c r="DL5" s="101" t="s">
        <v>124</v>
      </c>
      <c r="DM5" s="101" t="s">
        <v>125</v>
      </c>
      <c r="DN5" s="101" t="s">
        <v>124</v>
      </c>
      <c r="DO5" s="101" t="s">
        <v>125</v>
      </c>
      <c r="DP5" s="101" t="s">
        <v>124</v>
      </c>
      <c r="DQ5" s="101" t="s">
        <v>125</v>
      </c>
      <c r="DR5" s="101" t="s">
        <v>124</v>
      </c>
      <c r="DS5" s="101" t="s">
        <v>125</v>
      </c>
      <c r="DT5" s="101" t="s">
        <v>124</v>
      </c>
      <c r="DU5" s="101" t="s">
        <v>125</v>
      </c>
      <c r="DV5" s="101" t="s">
        <v>124</v>
      </c>
      <c r="DW5" s="101" t="s">
        <v>125</v>
      </c>
      <c r="DX5" s="101" t="s">
        <v>124</v>
      </c>
      <c r="DY5" s="101" t="s">
        <v>125</v>
      </c>
    </row>
    <row r="6" spans="1:129" x14ac:dyDescent="0.25">
      <c r="A6" s="84" t="s">
        <v>115</v>
      </c>
      <c r="B6" s="84"/>
      <c r="C6" s="84"/>
      <c r="D6" s="84"/>
      <c r="E6" s="84"/>
      <c r="F6" s="84">
        <v>32525</v>
      </c>
      <c r="G6" s="84">
        <v>3954</v>
      </c>
      <c r="H6" s="84">
        <v>97894</v>
      </c>
      <c r="I6" s="84">
        <v>12264</v>
      </c>
      <c r="J6" s="84"/>
      <c r="K6" s="84"/>
      <c r="L6" s="84"/>
      <c r="M6" s="84"/>
      <c r="N6" s="84">
        <v>927845</v>
      </c>
      <c r="O6" s="84">
        <v>57625</v>
      </c>
      <c r="P6" s="84">
        <v>2444632</v>
      </c>
      <c r="Q6" s="84">
        <v>163002</v>
      </c>
      <c r="R6" s="84">
        <v>106959</v>
      </c>
      <c r="S6" s="84">
        <v>6489</v>
      </c>
      <c r="T6" s="84">
        <v>246507</v>
      </c>
      <c r="U6" s="84">
        <v>16887</v>
      </c>
      <c r="V6" s="84">
        <v>12001</v>
      </c>
      <c r="W6" s="84">
        <v>3387</v>
      </c>
      <c r="X6" s="84">
        <v>38911</v>
      </c>
      <c r="Y6" s="84">
        <v>6105</v>
      </c>
      <c r="Z6" s="84">
        <v>0</v>
      </c>
      <c r="AA6" s="84">
        <v>0.24</v>
      </c>
      <c r="AB6" s="84">
        <v>2</v>
      </c>
      <c r="AC6" s="84">
        <v>50.54</v>
      </c>
      <c r="AD6" s="84">
        <v>1737</v>
      </c>
      <c r="AE6" s="84">
        <v>188.13</v>
      </c>
      <c r="AF6" s="84">
        <v>4929</v>
      </c>
      <c r="AG6" s="84">
        <v>487.43</v>
      </c>
      <c r="AH6" s="84">
        <v>198876</v>
      </c>
      <c r="AI6" s="84">
        <v>21235.74</v>
      </c>
      <c r="AJ6" s="84">
        <v>671267</v>
      </c>
      <c r="AK6" s="84">
        <v>75293</v>
      </c>
      <c r="AL6" s="84">
        <v>480422</v>
      </c>
      <c r="AM6" s="84">
        <v>14910</v>
      </c>
      <c r="AN6" s="84">
        <v>1111516</v>
      </c>
      <c r="AO6" s="84">
        <v>35927</v>
      </c>
      <c r="AP6" s="84">
        <v>328993</v>
      </c>
      <c r="AQ6" s="84">
        <v>59974.9</v>
      </c>
      <c r="AR6" s="84">
        <v>1185765</v>
      </c>
      <c r="AS6" s="84">
        <v>167427.4</v>
      </c>
      <c r="AT6" s="84">
        <v>428888</v>
      </c>
      <c r="AU6" s="84">
        <v>45007</v>
      </c>
      <c r="AV6" s="84">
        <v>1051867</v>
      </c>
      <c r="AW6" s="84">
        <v>126426</v>
      </c>
      <c r="AX6" s="84">
        <v>1573455</v>
      </c>
      <c r="AY6" s="84">
        <v>55338.646110000001</v>
      </c>
      <c r="AZ6" s="84">
        <v>3723658</v>
      </c>
      <c r="BA6" s="84">
        <v>141752.62770000001</v>
      </c>
      <c r="BB6" s="84">
        <v>3932</v>
      </c>
      <c r="BC6" s="84">
        <v>505.18</v>
      </c>
      <c r="BD6" s="84">
        <v>8335</v>
      </c>
      <c r="BE6" s="84">
        <v>1046.24</v>
      </c>
      <c r="BF6" s="84">
        <v>29375</v>
      </c>
      <c r="BG6" s="84">
        <v>2613</v>
      </c>
      <c r="BH6" s="84">
        <v>90449</v>
      </c>
      <c r="BI6" s="84">
        <v>7899</v>
      </c>
      <c r="BJ6" s="84">
        <v>22704</v>
      </c>
      <c r="BK6" s="84">
        <v>2025</v>
      </c>
      <c r="BL6" s="84">
        <v>59379</v>
      </c>
      <c r="BM6" s="84">
        <v>5520</v>
      </c>
      <c r="BN6" s="84">
        <v>31951</v>
      </c>
      <c r="BO6" s="84">
        <v>4784</v>
      </c>
      <c r="BP6" s="84">
        <v>95388</v>
      </c>
      <c r="BQ6" s="84">
        <v>14289</v>
      </c>
      <c r="BR6" s="84">
        <v>74517</v>
      </c>
      <c r="BS6" s="84">
        <v>14937</v>
      </c>
      <c r="BT6" s="84">
        <v>223484</v>
      </c>
      <c r="BU6" s="84">
        <v>10294</v>
      </c>
      <c r="BV6" s="88">
        <v>1961915</v>
      </c>
      <c r="BW6" s="88">
        <v>151673.6218505</v>
      </c>
      <c r="BX6" s="91">
        <v>5696931</v>
      </c>
      <c r="BY6" s="91">
        <v>425520.16819790006</v>
      </c>
      <c r="BZ6" s="84">
        <v>6538</v>
      </c>
      <c r="CA6" s="84">
        <v>100</v>
      </c>
      <c r="CB6" s="84">
        <v>26940</v>
      </c>
      <c r="CC6" s="84">
        <v>443</v>
      </c>
      <c r="CD6" s="84">
        <v>7694</v>
      </c>
      <c r="CE6" s="84">
        <v>1225.6403029999999</v>
      </c>
      <c r="CF6" s="84">
        <v>19412</v>
      </c>
      <c r="CG6" s="84">
        <v>3261.3226840000002</v>
      </c>
      <c r="CH6" s="84">
        <v>402762</v>
      </c>
      <c r="CI6" s="84">
        <v>29682</v>
      </c>
      <c r="CJ6" s="84">
        <v>1031306</v>
      </c>
      <c r="CK6" s="84">
        <v>85979</v>
      </c>
      <c r="CL6" s="84">
        <v>142470</v>
      </c>
      <c r="CM6" s="84">
        <v>24128</v>
      </c>
      <c r="CN6" s="84">
        <v>420513</v>
      </c>
      <c r="CO6" s="84">
        <v>70469</v>
      </c>
      <c r="CP6" s="84">
        <v>194748</v>
      </c>
      <c r="CQ6" s="84">
        <v>22515</v>
      </c>
      <c r="CR6" s="84">
        <v>397030</v>
      </c>
      <c r="CS6" s="84">
        <v>49017</v>
      </c>
      <c r="CT6" s="84">
        <v>95358</v>
      </c>
      <c r="CU6" s="84">
        <v>14475</v>
      </c>
      <c r="CV6" s="84">
        <v>205961</v>
      </c>
      <c r="CW6" s="84">
        <v>33372</v>
      </c>
      <c r="CX6" s="84">
        <v>677181</v>
      </c>
      <c r="CY6" s="84">
        <v>23366.53</v>
      </c>
      <c r="CZ6" s="84">
        <v>1502828</v>
      </c>
      <c r="DA6" s="84">
        <v>56650.26</v>
      </c>
      <c r="DB6" s="84">
        <v>1416673</v>
      </c>
      <c r="DC6" s="84">
        <v>173668</v>
      </c>
      <c r="DD6" s="84">
        <v>4114760</v>
      </c>
      <c r="DE6" s="84">
        <v>484010</v>
      </c>
      <c r="DF6" s="84">
        <v>382710</v>
      </c>
      <c r="DG6" s="84">
        <v>51989</v>
      </c>
      <c r="DH6" s="84">
        <v>978790</v>
      </c>
      <c r="DI6" s="84">
        <v>137403</v>
      </c>
      <c r="DJ6" s="84">
        <v>3680926</v>
      </c>
      <c r="DK6" s="84">
        <v>266373</v>
      </c>
      <c r="DL6" s="84"/>
      <c r="DM6" s="84"/>
      <c r="DN6" s="84">
        <v>1367452</v>
      </c>
      <c r="DO6" s="84">
        <v>139036.13</v>
      </c>
      <c r="DP6" s="84">
        <v>4944421</v>
      </c>
      <c r="DQ6" s="84">
        <v>372839.22</v>
      </c>
      <c r="DR6" s="84">
        <v>3295699</v>
      </c>
      <c r="DS6" s="84">
        <v>199551</v>
      </c>
      <c r="DT6" s="84">
        <v>9046411</v>
      </c>
      <c r="DU6" s="84">
        <v>551300</v>
      </c>
      <c r="DV6" s="84">
        <v>18476</v>
      </c>
      <c r="DW6" s="84">
        <v>1729</v>
      </c>
      <c r="DX6" s="84">
        <v>59496</v>
      </c>
      <c r="DY6" s="84">
        <v>6000</v>
      </c>
    </row>
    <row r="7" spans="1:129" x14ac:dyDescent="0.25">
      <c r="A7" s="84" t="s">
        <v>116</v>
      </c>
      <c r="B7" s="84">
        <v>2</v>
      </c>
      <c r="C7" s="84"/>
      <c r="D7" s="84">
        <v>4</v>
      </c>
      <c r="E7" s="84"/>
      <c r="F7" s="84">
        <v>75817</v>
      </c>
      <c r="G7" s="84">
        <v>10590</v>
      </c>
      <c r="H7" s="84">
        <v>264777</v>
      </c>
      <c r="I7" s="84">
        <v>32128</v>
      </c>
      <c r="J7" s="84"/>
      <c r="K7" s="84"/>
      <c r="L7" s="84"/>
      <c r="M7" s="84"/>
      <c r="N7" s="84">
        <v>2020744</v>
      </c>
      <c r="O7" s="84">
        <v>30654</v>
      </c>
      <c r="P7" s="84">
        <v>5343346</v>
      </c>
      <c r="Q7" s="84">
        <v>88975</v>
      </c>
      <c r="R7" s="84">
        <v>302140</v>
      </c>
      <c r="S7" s="84">
        <v>6433</v>
      </c>
      <c r="T7" s="84">
        <v>844603</v>
      </c>
      <c r="U7" s="84">
        <v>18259</v>
      </c>
      <c r="V7" s="84">
        <v>188677</v>
      </c>
      <c r="W7" s="84">
        <v>31142</v>
      </c>
      <c r="X7" s="84">
        <v>911732</v>
      </c>
      <c r="Y7" s="84">
        <v>84978</v>
      </c>
      <c r="Z7" s="84"/>
      <c r="AA7" s="84"/>
      <c r="AB7" s="84"/>
      <c r="AC7" s="84"/>
      <c r="AD7" s="84"/>
      <c r="AE7" s="84"/>
      <c r="AF7" s="84"/>
      <c r="AG7" s="84"/>
      <c r="AH7" s="84">
        <v>214217</v>
      </c>
      <c r="AI7" s="84">
        <v>4870.3999999999996</v>
      </c>
      <c r="AJ7" s="84">
        <v>813400</v>
      </c>
      <c r="AK7" s="84">
        <v>17433.29</v>
      </c>
      <c r="AL7" s="84">
        <v>1661</v>
      </c>
      <c r="AM7" s="84">
        <v>77</v>
      </c>
      <c r="AN7" s="84">
        <v>3307</v>
      </c>
      <c r="AO7" s="84">
        <v>232</v>
      </c>
      <c r="AP7" s="84">
        <v>570793</v>
      </c>
      <c r="AQ7" s="84">
        <v>44142.7</v>
      </c>
      <c r="AR7" s="84">
        <v>1438614</v>
      </c>
      <c r="AS7" s="84">
        <v>113087.6</v>
      </c>
      <c r="AT7" s="84">
        <v>237091</v>
      </c>
      <c r="AU7" s="84">
        <v>29905</v>
      </c>
      <c r="AV7" s="84">
        <v>583201</v>
      </c>
      <c r="AW7" s="84">
        <v>84205</v>
      </c>
      <c r="AX7" s="84">
        <v>75629</v>
      </c>
      <c r="AY7" s="84">
        <v>1960.4604670000001</v>
      </c>
      <c r="AZ7" s="84">
        <v>225817</v>
      </c>
      <c r="BA7" s="84">
        <v>6098.3300490000001</v>
      </c>
      <c r="BB7" s="84">
        <v>24315</v>
      </c>
      <c r="BC7" s="84">
        <v>3010.76</v>
      </c>
      <c r="BD7" s="84">
        <v>83097</v>
      </c>
      <c r="BE7" s="84">
        <v>10502.62</v>
      </c>
      <c r="BF7" s="84">
        <v>9</v>
      </c>
      <c r="BG7" s="84">
        <v>0</v>
      </c>
      <c r="BH7" s="84">
        <v>56</v>
      </c>
      <c r="BI7" s="84">
        <v>1</v>
      </c>
      <c r="BJ7" s="84">
        <v>1948</v>
      </c>
      <c r="BK7" s="84">
        <v>32</v>
      </c>
      <c r="BL7" s="84">
        <v>7180</v>
      </c>
      <c r="BM7" s="84">
        <v>98</v>
      </c>
      <c r="BN7" s="84">
        <v>4160</v>
      </c>
      <c r="BO7" s="84">
        <v>2451</v>
      </c>
      <c r="BP7" s="84">
        <v>15489</v>
      </c>
      <c r="BQ7" s="84">
        <v>8297</v>
      </c>
      <c r="BR7" s="84">
        <v>48657</v>
      </c>
      <c r="BS7" s="84">
        <v>9478</v>
      </c>
      <c r="BT7" s="84">
        <v>141788</v>
      </c>
      <c r="BU7" s="84">
        <v>6589</v>
      </c>
      <c r="BV7" s="88">
        <v>9290</v>
      </c>
      <c r="BW7" s="88">
        <v>475.3607232</v>
      </c>
      <c r="BX7" s="91">
        <v>31611</v>
      </c>
      <c r="BY7" s="91">
        <v>1653.7551708000001</v>
      </c>
      <c r="BZ7" s="84"/>
      <c r="CA7" s="84"/>
      <c r="CB7" s="84"/>
      <c r="CC7" s="84"/>
      <c r="CD7" s="84"/>
      <c r="CE7" s="84"/>
      <c r="CF7" s="84"/>
      <c r="CG7" s="84"/>
      <c r="CH7" s="84">
        <v>117391</v>
      </c>
      <c r="CI7" s="84">
        <v>7406</v>
      </c>
      <c r="CJ7" s="84">
        <v>321358</v>
      </c>
      <c r="CK7" s="84">
        <v>19427</v>
      </c>
      <c r="CL7" s="84">
        <v>35404</v>
      </c>
      <c r="CM7" s="84">
        <v>13553</v>
      </c>
      <c r="CN7" s="84">
        <v>99840</v>
      </c>
      <c r="CO7" s="84">
        <v>34157</v>
      </c>
      <c r="CP7" s="84">
        <v>7077</v>
      </c>
      <c r="CQ7" s="84">
        <v>1017</v>
      </c>
      <c r="CR7" s="84">
        <v>28148</v>
      </c>
      <c r="CS7" s="84">
        <v>3656</v>
      </c>
      <c r="CT7" s="84">
        <v>1083384</v>
      </c>
      <c r="CU7" s="84">
        <v>61902</v>
      </c>
      <c r="CV7" s="84">
        <v>2256218</v>
      </c>
      <c r="CW7" s="84">
        <v>150828</v>
      </c>
      <c r="CX7" s="84">
        <v>5785</v>
      </c>
      <c r="CY7" s="84">
        <v>172.08</v>
      </c>
      <c r="CZ7" s="84">
        <v>21734</v>
      </c>
      <c r="DA7" s="84">
        <v>740.83</v>
      </c>
      <c r="DB7" s="84">
        <v>41443</v>
      </c>
      <c r="DC7" s="84">
        <v>5598</v>
      </c>
      <c r="DD7" s="84">
        <v>120177</v>
      </c>
      <c r="DE7" s="84">
        <v>14112</v>
      </c>
      <c r="DF7" s="84">
        <v>505124</v>
      </c>
      <c r="DG7" s="84">
        <v>27457</v>
      </c>
      <c r="DH7" s="84">
        <v>1375769</v>
      </c>
      <c r="DI7" s="84">
        <v>137403</v>
      </c>
      <c r="DJ7" s="84">
        <v>116156</v>
      </c>
      <c r="DK7" s="84">
        <v>8586</v>
      </c>
      <c r="DL7" s="84"/>
      <c r="DM7" s="84"/>
      <c r="DN7" s="84">
        <v>94409</v>
      </c>
      <c r="DO7" s="84">
        <v>6266.22</v>
      </c>
      <c r="DP7" s="84">
        <v>291637</v>
      </c>
      <c r="DQ7" s="84">
        <v>19520.09</v>
      </c>
      <c r="DR7" s="84">
        <v>92849</v>
      </c>
      <c r="DS7" s="84">
        <v>4855</v>
      </c>
      <c r="DT7" s="84">
        <v>311897</v>
      </c>
      <c r="DU7" s="84">
        <v>26940</v>
      </c>
      <c r="DV7" s="84">
        <v>130464</v>
      </c>
      <c r="DW7" s="84">
        <v>7254</v>
      </c>
      <c r="DX7" s="84">
        <v>412327</v>
      </c>
      <c r="DY7" s="84">
        <v>25180</v>
      </c>
    </row>
    <row r="8" spans="1:129" x14ac:dyDescent="0.25">
      <c r="A8" s="84" t="s">
        <v>117</v>
      </c>
      <c r="B8" s="84">
        <v>48452</v>
      </c>
      <c r="C8" s="84">
        <v>1525</v>
      </c>
      <c r="D8" s="84">
        <v>101350</v>
      </c>
      <c r="E8" s="84">
        <v>3060</v>
      </c>
      <c r="F8" s="84">
        <v>750</v>
      </c>
      <c r="G8" s="84">
        <v>3225</v>
      </c>
      <c r="H8" s="84">
        <v>3026</v>
      </c>
      <c r="I8" s="84">
        <v>10009</v>
      </c>
      <c r="J8" s="84"/>
      <c r="K8" s="84"/>
      <c r="L8" s="84"/>
      <c r="M8" s="84"/>
      <c r="N8" s="84">
        <v>648293</v>
      </c>
      <c r="O8" s="84">
        <v>9734</v>
      </c>
      <c r="P8" s="84">
        <v>1404127</v>
      </c>
      <c r="Q8" s="84">
        <v>28778</v>
      </c>
      <c r="R8" s="84">
        <v>311591</v>
      </c>
      <c r="S8" s="84">
        <v>4478</v>
      </c>
      <c r="T8" s="84">
        <v>647543</v>
      </c>
      <c r="U8" s="84">
        <v>7236</v>
      </c>
      <c r="V8" s="84">
        <v>1252432</v>
      </c>
      <c r="W8" s="84">
        <v>52095</v>
      </c>
      <c r="X8" s="84">
        <v>2652961</v>
      </c>
      <c r="Y8" s="84">
        <v>130809</v>
      </c>
      <c r="Z8" s="84"/>
      <c r="AA8" s="84"/>
      <c r="AB8" s="84"/>
      <c r="AC8" s="84"/>
      <c r="AD8" s="84">
        <v>1993</v>
      </c>
      <c r="AE8" s="84">
        <v>100.22</v>
      </c>
      <c r="AF8" s="84">
        <v>10561</v>
      </c>
      <c r="AG8" s="84">
        <v>460.84</v>
      </c>
      <c r="AH8" s="84">
        <v>15810</v>
      </c>
      <c r="AI8" s="84">
        <v>1597.82</v>
      </c>
      <c r="AJ8" s="84">
        <v>62757</v>
      </c>
      <c r="AK8" s="84">
        <v>6115.79</v>
      </c>
      <c r="AL8" s="84">
        <v>9194</v>
      </c>
      <c r="AM8" s="84">
        <v>947</v>
      </c>
      <c r="AN8" s="84">
        <v>22822</v>
      </c>
      <c r="AO8" s="84">
        <v>3034</v>
      </c>
      <c r="AP8" s="84">
        <v>91926</v>
      </c>
      <c r="AQ8" s="84">
        <v>17401.8</v>
      </c>
      <c r="AR8" s="84">
        <v>248157</v>
      </c>
      <c r="AS8" s="84">
        <v>38311</v>
      </c>
      <c r="AT8" s="84">
        <v>79126</v>
      </c>
      <c r="AU8" s="84">
        <v>15251</v>
      </c>
      <c r="AV8" s="84">
        <v>185707</v>
      </c>
      <c r="AW8" s="84">
        <v>31170</v>
      </c>
      <c r="AX8" s="84">
        <v>14286</v>
      </c>
      <c r="AY8" s="84">
        <v>712.56020009999997</v>
      </c>
      <c r="AZ8" s="84">
        <v>41089</v>
      </c>
      <c r="BA8" s="84">
        <v>1903.211442</v>
      </c>
      <c r="BB8" s="84">
        <v>57445</v>
      </c>
      <c r="BC8" s="84">
        <v>812.75</v>
      </c>
      <c r="BD8" s="84">
        <v>91035</v>
      </c>
      <c r="BE8" s="84">
        <v>1872.57</v>
      </c>
      <c r="BF8" s="84">
        <v>6581</v>
      </c>
      <c r="BG8" s="84">
        <v>647</v>
      </c>
      <c r="BH8" s="84">
        <v>12419</v>
      </c>
      <c r="BI8" s="84">
        <v>1425</v>
      </c>
      <c r="BJ8" s="84">
        <v>30599</v>
      </c>
      <c r="BK8" s="84">
        <v>3790</v>
      </c>
      <c r="BL8" s="84">
        <v>89029</v>
      </c>
      <c r="BM8" s="84">
        <v>9505</v>
      </c>
      <c r="BN8" s="84">
        <v>4772</v>
      </c>
      <c r="BO8" s="84">
        <v>1805</v>
      </c>
      <c r="BP8" s="84">
        <v>13098</v>
      </c>
      <c r="BQ8" s="84">
        <v>2900</v>
      </c>
      <c r="BR8" s="84">
        <v>97</v>
      </c>
      <c r="BS8" s="84">
        <v>3255</v>
      </c>
      <c r="BT8" s="84">
        <v>366</v>
      </c>
      <c r="BU8" s="84">
        <v>3733</v>
      </c>
      <c r="BV8" s="88">
        <v>1027377</v>
      </c>
      <c r="BW8" s="88">
        <v>11625.132708199999</v>
      </c>
      <c r="BX8" s="91">
        <v>2529113</v>
      </c>
      <c r="BY8" s="91">
        <v>28940.270333900004</v>
      </c>
      <c r="BZ8" s="84">
        <v>27200</v>
      </c>
      <c r="CA8" s="84">
        <v>1681</v>
      </c>
      <c r="CB8" s="84">
        <v>49510</v>
      </c>
      <c r="CC8" s="84">
        <v>3056</v>
      </c>
      <c r="CD8" s="84"/>
      <c r="CE8" s="84"/>
      <c r="CF8" s="84"/>
      <c r="CG8" s="84"/>
      <c r="CH8" s="84">
        <v>43514</v>
      </c>
      <c r="CI8" s="84">
        <v>8158</v>
      </c>
      <c r="CJ8" s="84">
        <v>104760</v>
      </c>
      <c r="CK8" s="84">
        <v>20660</v>
      </c>
      <c r="CL8" s="84">
        <v>4407</v>
      </c>
      <c r="CM8" s="84">
        <v>2845</v>
      </c>
      <c r="CN8" s="84">
        <v>14369</v>
      </c>
      <c r="CO8" s="84">
        <v>5854</v>
      </c>
      <c r="CP8" s="84">
        <v>35152</v>
      </c>
      <c r="CQ8" s="84">
        <v>8703</v>
      </c>
      <c r="CR8" s="84">
        <v>110146</v>
      </c>
      <c r="CS8" s="84">
        <v>25667</v>
      </c>
      <c r="CT8" s="84">
        <v>28315</v>
      </c>
      <c r="CU8" s="84">
        <v>1713</v>
      </c>
      <c r="CV8" s="84">
        <v>64583</v>
      </c>
      <c r="CW8" s="84">
        <v>4490</v>
      </c>
      <c r="CX8" s="84">
        <v>264616</v>
      </c>
      <c r="CY8" s="84">
        <v>22500.28</v>
      </c>
      <c r="CZ8" s="84">
        <v>792024</v>
      </c>
      <c r="DA8" s="84">
        <v>76839.41</v>
      </c>
      <c r="DB8" s="84">
        <v>3727</v>
      </c>
      <c r="DC8" s="84">
        <v>273</v>
      </c>
      <c r="DD8" s="84">
        <v>12157</v>
      </c>
      <c r="DE8" s="84">
        <v>1229</v>
      </c>
      <c r="DF8" s="84">
        <v>78299</v>
      </c>
      <c r="DG8" s="84">
        <v>5072</v>
      </c>
      <c r="DH8" s="84">
        <v>255832</v>
      </c>
      <c r="DI8" s="84">
        <v>13019</v>
      </c>
      <c r="DJ8" s="84">
        <v>1072339</v>
      </c>
      <c r="DK8" s="84">
        <v>62550</v>
      </c>
      <c r="DL8" s="84"/>
      <c r="DM8" s="84"/>
      <c r="DN8" s="84">
        <v>27970</v>
      </c>
      <c r="DO8" s="84">
        <v>2145.21</v>
      </c>
      <c r="DP8" s="84">
        <v>66110</v>
      </c>
      <c r="DQ8" s="84">
        <v>3649.11</v>
      </c>
      <c r="DR8" s="84">
        <v>11305</v>
      </c>
      <c r="DS8" s="84">
        <v>2862</v>
      </c>
      <c r="DT8" s="84">
        <v>29364</v>
      </c>
      <c r="DU8" s="84">
        <v>6706</v>
      </c>
      <c r="DV8" s="84">
        <v>68</v>
      </c>
      <c r="DW8" s="84">
        <v>37</v>
      </c>
      <c r="DX8" s="84">
        <v>771</v>
      </c>
      <c r="DY8" s="84">
        <v>229</v>
      </c>
    </row>
    <row r="9" spans="1:129" x14ac:dyDescent="0.25">
      <c r="A9" s="84" t="s">
        <v>118</v>
      </c>
      <c r="B9" s="84">
        <v>55798</v>
      </c>
      <c r="C9" s="84">
        <v>1927</v>
      </c>
      <c r="D9" s="84">
        <v>139157</v>
      </c>
      <c r="E9" s="84">
        <v>5246</v>
      </c>
      <c r="F9" s="84">
        <v>7897</v>
      </c>
      <c r="G9" s="84">
        <v>10466</v>
      </c>
      <c r="H9" s="84">
        <v>25779</v>
      </c>
      <c r="I9" s="84">
        <v>23953</v>
      </c>
      <c r="J9" s="84">
        <v>63822</v>
      </c>
      <c r="K9" s="84">
        <v>1371.42</v>
      </c>
      <c r="L9" s="84">
        <v>594256</v>
      </c>
      <c r="M9" s="84">
        <v>6542.63</v>
      </c>
      <c r="N9" s="84">
        <v>1606689</v>
      </c>
      <c r="O9" s="84">
        <v>127630</v>
      </c>
      <c r="P9" s="84">
        <v>4629110</v>
      </c>
      <c r="Q9" s="84">
        <v>383981</v>
      </c>
      <c r="R9" s="84">
        <v>946139</v>
      </c>
      <c r="S9" s="84">
        <v>45646</v>
      </c>
      <c r="T9" s="84">
        <v>2153185</v>
      </c>
      <c r="U9" s="84">
        <v>108156</v>
      </c>
      <c r="V9" s="84">
        <v>287511</v>
      </c>
      <c r="W9" s="84">
        <v>26021</v>
      </c>
      <c r="X9" s="84">
        <v>663169</v>
      </c>
      <c r="Y9" s="84">
        <v>71679</v>
      </c>
      <c r="Z9" s="84">
        <v>132</v>
      </c>
      <c r="AA9" s="84">
        <v>3359.05</v>
      </c>
      <c r="AB9" s="84">
        <v>395</v>
      </c>
      <c r="AC9" s="84">
        <v>7456.74</v>
      </c>
      <c r="AD9" s="84">
        <v>12682</v>
      </c>
      <c r="AE9" s="84">
        <v>3215.43</v>
      </c>
      <c r="AF9" s="84">
        <v>28874</v>
      </c>
      <c r="AG9" s="84">
        <v>8435.93</v>
      </c>
      <c r="AH9" s="84">
        <v>121329</v>
      </c>
      <c r="AI9" s="84">
        <v>27642.54</v>
      </c>
      <c r="AJ9" s="84">
        <v>375083</v>
      </c>
      <c r="AK9" s="84">
        <v>90296.13</v>
      </c>
      <c r="AL9" s="84">
        <v>433395</v>
      </c>
      <c r="AM9" s="84">
        <v>24191</v>
      </c>
      <c r="AN9" s="84">
        <v>919732</v>
      </c>
      <c r="AO9" s="84">
        <v>61778</v>
      </c>
      <c r="AP9" s="84">
        <v>1174050</v>
      </c>
      <c r="AQ9" s="84">
        <v>90130.6</v>
      </c>
      <c r="AR9" s="84">
        <v>2467944</v>
      </c>
      <c r="AS9" s="84">
        <v>248572.9</v>
      </c>
      <c r="AT9" s="84">
        <v>4340136</v>
      </c>
      <c r="AU9" s="84">
        <v>210304</v>
      </c>
      <c r="AV9" s="84">
        <v>8862316</v>
      </c>
      <c r="AW9" s="84">
        <v>533344</v>
      </c>
      <c r="AX9" s="84">
        <v>755112</v>
      </c>
      <c r="AY9" s="84">
        <v>87904.074559999994</v>
      </c>
      <c r="AZ9" s="84">
        <v>1915114</v>
      </c>
      <c r="BA9" s="84">
        <v>272754.04119999998</v>
      </c>
      <c r="BB9" s="84">
        <v>199104</v>
      </c>
      <c r="BC9" s="84">
        <v>3870.71</v>
      </c>
      <c r="BD9" s="84">
        <v>499536</v>
      </c>
      <c r="BE9" s="84">
        <v>8956.94</v>
      </c>
      <c r="BF9" s="84">
        <v>490442</v>
      </c>
      <c r="BG9" s="84">
        <v>29575</v>
      </c>
      <c r="BH9" s="84">
        <v>1070780</v>
      </c>
      <c r="BI9" s="84">
        <v>76987</v>
      </c>
      <c r="BJ9" s="84">
        <v>164356</v>
      </c>
      <c r="BK9" s="84">
        <v>15140</v>
      </c>
      <c r="BL9" s="84">
        <v>373450</v>
      </c>
      <c r="BM9" s="84">
        <v>38361</v>
      </c>
      <c r="BN9" s="84">
        <v>17939</v>
      </c>
      <c r="BO9" s="84">
        <v>4784</v>
      </c>
      <c r="BP9" s="84">
        <v>63037</v>
      </c>
      <c r="BQ9" s="84">
        <v>14322</v>
      </c>
      <c r="BR9" s="84">
        <v>39253</v>
      </c>
      <c r="BS9" s="84">
        <v>6450</v>
      </c>
      <c r="BT9" s="84">
        <v>139812</v>
      </c>
      <c r="BU9" s="84">
        <v>3940</v>
      </c>
      <c r="BV9" s="88">
        <v>451199</v>
      </c>
      <c r="BW9" s="88">
        <v>61939.702493000026</v>
      </c>
      <c r="BX9" s="91">
        <v>1081940</v>
      </c>
      <c r="BY9" s="91">
        <v>215473.46470870008</v>
      </c>
      <c r="BZ9" s="84">
        <v>21654</v>
      </c>
      <c r="CA9" s="84">
        <v>526</v>
      </c>
      <c r="CB9" s="84">
        <v>58353</v>
      </c>
      <c r="CC9" s="84">
        <v>1366</v>
      </c>
      <c r="CD9" s="84">
        <v>19343</v>
      </c>
      <c r="CE9" s="84">
        <v>3846.9118130000002</v>
      </c>
      <c r="CF9" s="84">
        <v>43860</v>
      </c>
      <c r="CG9" s="84">
        <v>9660.8312709999991</v>
      </c>
      <c r="CH9" s="84">
        <v>754755</v>
      </c>
      <c r="CI9" s="84">
        <v>63278</v>
      </c>
      <c r="CJ9" s="84">
        <v>1706764</v>
      </c>
      <c r="CK9" s="84">
        <v>187311</v>
      </c>
      <c r="CL9" s="84">
        <v>55426</v>
      </c>
      <c r="CM9" s="84">
        <v>14476</v>
      </c>
      <c r="CN9" s="84">
        <v>175531</v>
      </c>
      <c r="CO9" s="84">
        <v>47203</v>
      </c>
      <c r="CP9" s="84">
        <v>266147</v>
      </c>
      <c r="CQ9" s="84">
        <v>35106</v>
      </c>
      <c r="CR9" s="84">
        <v>603394</v>
      </c>
      <c r="CS9" s="84">
        <v>94441</v>
      </c>
      <c r="CT9" s="84">
        <v>312049</v>
      </c>
      <c r="CU9" s="84">
        <v>54982</v>
      </c>
      <c r="CV9" s="84">
        <v>550746</v>
      </c>
      <c r="CW9" s="84">
        <v>142966</v>
      </c>
      <c r="CX9" s="84">
        <v>145610</v>
      </c>
      <c r="CY9" s="84">
        <v>6217.92</v>
      </c>
      <c r="CZ9" s="84">
        <v>335472</v>
      </c>
      <c r="DA9" s="84">
        <v>16466.310000000001</v>
      </c>
      <c r="DB9" s="84">
        <v>32553</v>
      </c>
      <c r="DC9" s="84">
        <v>12859</v>
      </c>
      <c r="DD9" s="84">
        <v>104953</v>
      </c>
      <c r="DE9" s="84">
        <v>43309</v>
      </c>
      <c r="DF9" s="84">
        <v>1108565</v>
      </c>
      <c r="DG9" s="84">
        <v>95150</v>
      </c>
      <c r="DH9" s="84">
        <v>2643950</v>
      </c>
      <c r="DI9" s="84">
        <v>259630</v>
      </c>
      <c r="DJ9" s="84">
        <v>374901</v>
      </c>
      <c r="DK9" s="84">
        <v>178089</v>
      </c>
      <c r="DL9" s="84"/>
      <c r="DM9" s="84"/>
      <c r="DN9" s="84">
        <v>275826</v>
      </c>
      <c r="DO9" s="84">
        <v>90363.79</v>
      </c>
      <c r="DP9" s="84">
        <v>695235</v>
      </c>
      <c r="DQ9" s="84">
        <v>220347.83</v>
      </c>
      <c r="DR9" s="84">
        <v>328923</v>
      </c>
      <c r="DS9" s="84">
        <v>59793</v>
      </c>
      <c r="DT9" s="84">
        <v>936907</v>
      </c>
      <c r="DU9" s="84">
        <v>212491</v>
      </c>
      <c r="DV9" s="84">
        <v>219477</v>
      </c>
      <c r="DW9" s="84">
        <v>21964</v>
      </c>
      <c r="DX9" s="84">
        <v>525391</v>
      </c>
      <c r="DY9" s="84">
        <v>61060</v>
      </c>
    </row>
    <row r="10" spans="1:129" x14ac:dyDescent="0.25">
      <c r="A10" s="84" t="s">
        <v>119</v>
      </c>
      <c r="B10" s="84"/>
      <c r="C10" s="84"/>
      <c r="D10" s="84"/>
      <c r="E10" s="84"/>
      <c r="F10" s="84"/>
      <c r="G10" s="84"/>
      <c r="H10" s="84"/>
      <c r="I10" s="84"/>
      <c r="J10" s="84">
        <v>519</v>
      </c>
      <c r="K10" s="84">
        <v>7.35</v>
      </c>
      <c r="L10" s="84">
        <v>19193</v>
      </c>
      <c r="M10" s="84">
        <v>534</v>
      </c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>
        <v>1</v>
      </c>
      <c r="AK10" s="84">
        <v>8.9499999999999993</v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>
        <v>84</v>
      </c>
      <c r="AY10" s="84">
        <v>1.5049999999999999</v>
      </c>
      <c r="AZ10" s="84">
        <v>116</v>
      </c>
      <c r="BA10" s="84">
        <v>2.0615600000000001</v>
      </c>
      <c r="BB10" s="84">
        <v>4053</v>
      </c>
      <c r="BC10" s="84">
        <v>12.13</v>
      </c>
      <c r="BD10" s="84">
        <v>6303</v>
      </c>
      <c r="BE10" s="84">
        <v>22.38</v>
      </c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25"/>
      <c r="BW10" s="25"/>
      <c r="BX10" s="25"/>
      <c r="BY10" s="25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>
        <v>13</v>
      </c>
      <c r="CM10" s="84">
        <v>538</v>
      </c>
      <c r="CN10" s="84">
        <v>18</v>
      </c>
      <c r="CO10" s="84">
        <v>977</v>
      </c>
      <c r="CP10" s="84">
        <v>12</v>
      </c>
      <c r="CQ10" s="84">
        <v>1</v>
      </c>
      <c r="CR10" s="84">
        <v>40</v>
      </c>
      <c r="CS10" s="84">
        <v>1</v>
      </c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>
        <v>25</v>
      </c>
      <c r="DK10" s="84">
        <v>1</v>
      </c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</row>
    <row r="11" spans="1:129" x14ac:dyDescent="0.25">
      <c r="A11" s="84" t="s">
        <v>120</v>
      </c>
      <c r="B11" s="84">
        <v>244935</v>
      </c>
      <c r="C11" s="84">
        <v>9178</v>
      </c>
      <c r="D11" s="84">
        <v>503858</v>
      </c>
      <c r="E11" s="84">
        <v>19090</v>
      </c>
      <c r="F11" s="84">
        <v>13574</v>
      </c>
      <c r="G11" s="84">
        <v>2695</v>
      </c>
      <c r="H11" s="84">
        <v>56836</v>
      </c>
      <c r="I11" s="84">
        <v>7578</v>
      </c>
      <c r="J11" s="84">
        <v>62835</v>
      </c>
      <c r="K11" s="84">
        <v>1629.63</v>
      </c>
      <c r="L11" s="84">
        <v>116137</v>
      </c>
      <c r="M11" s="84">
        <v>2362.39</v>
      </c>
      <c r="N11" s="84">
        <v>897469</v>
      </c>
      <c r="O11" s="84">
        <v>103211</v>
      </c>
      <c r="P11" s="84">
        <v>2062862</v>
      </c>
      <c r="Q11" s="84">
        <v>293380</v>
      </c>
      <c r="R11" s="84">
        <v>230046</v>
      </c>
      <c r="S11" s="84">
        <v>24293</v>
      </c>
      <c r="T11" s="84">
        <v>490736</v>
      </c>
      <c r="U11" s="84">
        <v>92397</v>
      </c>
      <c r="V11" s="84">
        <v>61706</v>
      </c>
      <c r="W11" s="84">
        <v>4060</v>
      </c>
      <c r="X11" s="84">
        <v>141966</v>
      </c>
      <c r="Y11" s="84">
        <v>18231</v>
      </c>
      <c r="Z11" s="84">
        <v>889</v>
      </c>
      <c r="AA11" s="84">
        <v>8568</v>
      </c>
      <c r="AB11" s="84">
        <v>2901</v>
      </c>
      <c r="AC11" s="84">
        <v>21528.14</v>
      </c>
      <c r="AD11" s="84">
        <v>9602</v>
      </c>
      <c r="AE11" s="84">
        <v>1159.83</v>
      </c>
      <c r="AF11" s="84">
        <v>20614</v>
      </c>
      <c r="AG11" s="84">
        <v>2449.85</v>
      </c>
      <c r="AH11" s="84">
        <v>97622</v>
      </c>
      <c r="AI11" s="84">
        <v>44168.28</v>
      </c>
      <c r="AJ11" s="84">
        <v>371974</v>
      </c>
      <c r="AK11" s="84">
        <v>146044.79</v>
      </c>
      <c r="AL11" s="84">
        <v>617484</v>
      </c>
      <c r="AM11" s="84">
        <v>25005</v>
      </c>
      <c r="AN11" s="84">
        <v>1312762</v>
      </c>
      <c r="AO11" s="84">
        <v>57611</v>
      </c>
      <c r="AP11" s="84">
        <v>260675</v>
      </c>
      <c r="AQ11" s="84">
        <v>49301.9</v>
      </c>
      <c r="AR11" s="84">
        <v>714817</v>
      </c>
      <c r="AS11" s="84">
        <v>255968.5</v>
      </c>
      <c r="AT11" s="84">
        <v>315134</v>
      </c>
      <c r="AU11" s="84">
        <f>7480+54347</f>
        <v>61827</v>
      </c>
      <c r="AV11" s="84">
        <f>574430+350415</f>
        <v>924845</v>
      </c>
      <c r="AW11" s="84">
        <f>19900+172299</f>
        <v>192199</v>
      </c>
      <c r="AX11" s="84">
        <v>118967</v>
      </c>
      <c r="AY11" s="84">
        <v>75207.516310000006</v>
      </c>
      <c r="AZ11" s="84">
        <v>340290</v>
      </c>
      <c r="BA11" s="84">
        <v>221409.51089999999</v>
      </c>
      <c r="BB11" s="84">
        <v>202098</v>
      </c>
      <c r="BC11" s="84">
        <v>4959.43</v>
      </c>
      <c r="BD11" s="84">
        <v>629875</v>
      </c>
      <c r="BE11" s="84">
        <v>11362.18</v>
      </c>
      <c r="BF11" s="84">
        <v>135777</v>
      </c>
      <c r="BG11" s="84">
        <v>1672</v>
      </c>
      <c r="BH11" s="84">
        <v>215131</v>
      </c>
      <c r="BI11" s="84">
        <v>5502</v>
      </c>
      <c r="BJ11" s="84">
        <v>20352</v>
      </c>
      <c r="BK11" s="84">
        <v>2163</v>
      </c>
      <c r="BL11" s="84">
        <v>65264</v>
      </c>
      <c r="BM11" s="84">
        <v>6004</v>
      </c>
      <c r="BN11" s="84">
        <v>9395</v>
      </c>
      <c r="BO11" s="84">
        <v>6020</v>
      </c>
      <c r="BP11" s="84">
        <v>37868</v>
      </c>
      <c r="BQ11" s="84">
        <v>12821</v>
      </c>
      <c r="BR11" s="84">
        <v>31200</v>
      </c>
      <c r="BS11" s="84">
        <v>8979</v>
      </c>
      <c r="BT11" s="84">
        <v>105437</v>
      </c>
      <c r="BU11" s="84">
        <v>5631</v>
      </c>
      <c r="BV11" s="88">
        <v>87497</v>
      </c>
      <c r="BW11" s="92">
        <v>118963.72</v>
      </c>
      <c r="BX11" s="91">
        <v>251360</v>
      </c>
      <c r="BY11" s="91">
        <v>367560.67518899997</v>
      </c>
      <c r="BZ11" s="84">
        <f>524+22139</f>
        <v>22663</v>
      </c>
      <c r="CA11" s="84">
        <f>10+434</f>
        <v>444</v>
      </c>
      <c r="CB11" s="84">
        <f>2641+31829</f>
        <v>34470</v>
      </c>
      <c r="CC11" s="84">
        <f>52+834</f>
        <v>886</v>
      </c>
      <c r="CD11" s="84">
        <v>6807</v>
      </c>
      <c r="CE11" s="84">
        <v>3759.2090750000002</v>
      </c>
      <c r="CF11" s="84">
        <v>16116</v>
      </c>
      <c r="CG11" s="84">
        <v>5086.8396460000004</v>
      </c>
      <c r="CH11" s="84">
        <v>115063</v>
      </c>
      <c r="CI11" s="84">
        <v>55796</v>
      </c>
      <c r="CJ11" s="84">
        <v>343320</v>
      </c>
      <c r="CK11" s="84">
        <v>278525</v>
      </c>
      <c r="CL11" s="84">
        <v>31780</v>
      </c>
      <c r="CM11" s="84">
        <v>5992</v>
      </c>
      <c r="CN11" s="84">
        <v>94300</v>
      </c>
      <c r="CO11" s="84">
        <v>16891</v>
      </c>
      <c r="CP11" s="84">
        <v>98268</v>
      </c>
      <c r="CQ11" s="84">
        <v>13700</v>
      </c>
      <c r="CR11" s="84">
        <v>283171</v>
      </c>
      <c r="CS11" s="84">
        <v>30246</v>
      </c>
      <c r="CT11" s="84">
        <v>2351280</v>
      </c>
      <c r="CU11" s="84">
        <v>32921</v>
      </c>
      <c r="CV11" s="84">
        <v>2324499</v>
      </c>
      <c r="CW11" s="84">
        <v>196199</v>
      </c>
      <c r="CX11" s="84">
        <v>95450</v>
      </c>
      <c r="CY11" s="84">
        <v>2491.2199999999998</v>
      </c>
      <c r="CZ11" s="84">
        <v>224444</v>
      </c>
      <c r="DA11" s="84">
        <v>4766.47</v>
      </c>
      <c r="DB11" s="84">
        <v>152736</v>
      </c>
      <c r="DC11" s="84">
        <v>20503</v>
      </c>
      <c r="DD11" s="84">
        <v>449715</v>
      </c>
      <c r="DE11" s="84">
        <v>57466</v>
      </c>
      <c r="DF11" s="84">
        <v>696794</v>
      </c>
      <c r="DG11" s="84">
        <v>20423</v>
      </c>
      <c r="DH11" s="84">
        <v>1162410</v>
      </c>
      <c r="DI11" s="84">
        <v>66842</v>
      </c>
      <c r="DJ11" s="84">
        <v>2177655</v>
      </c>
      <c r="DK11" s="84">
        <v>162965</v>
      </c>
      <c r="DL11" s="84"/>
      <c r="DM11" s="84"/>
      <c r="DN11" s="84">
        <v>421888</v>
      </c>
      <c r="DO11" s="84">
        <v>43478</v>
      </c>
      <c r="DP11" s="84">
        <v>650130</v>
      </c>
      <c r="DQ11" s="84">
        <v>280286</v>
      </c>
      <c r="DR11" s="84">
        <v>169315</v>
      </c>
      <c r="DS11" s="84">
        <v>145032</v>
      </c>
      <c r="DT11" s="84">
        <v>447510</v>
      </c>
      <c r="DU11" s="84">
        <v>369698</v>
      </c>
      <c r="DV11" s="84">
        <v>50751</v>
      </c>
      <c r="DW11" s="84">
        <v>51672</v>
      </c>
      <c r="DX11" s="84">
        <v>139697</v>
      </c>
      <c r="DY11" s="84">
        <v>125554</v>
      </c>
    </row>
    <row r="12" spans="1:129" x14ac:dyDescent="0.25">
      <c r="A12" s="84" t="s">
        <v>32</v>
      </c>
      <c r="B12" s="84">
        <f>B13-B11-B10-B9-B8-B7-B6</f>
        <v>1218</v>
      </c>
      <c r="C12" s="84">
        <f t="shared" ref="C12:BJ12" si="0">C13-C11-C10-C9-C8-C7-C6</f>
        <v>139</v>
      </c>
      <c r="D12" s="84">
        <f t="shared" si="0"/>
        <v>2805</v>
      </c>
      <c r="E12" s="84">
        <f t="shared" si="0"/>
        <v>332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4629677</v>
      </c>
      <c r="K12" s="84">
        <f t="shared" si="0"/>
        <v>171240.05</v>
      </c>
      <c r="L12" s="84">
        <f t="shared" si="0"/>
        <v>27768691</v>
      </c>
      <c r="M12" s="84">
        <f t="shared" si="0"/>
        <v>886763.83</v>
      </c>
      <c r="N12" s="84">
        <f t="shared" si="0"/>
        <v>349278</v>
      </c>
      <c r="O12" s="84">
        <f t="shared" si="0"/>
        <v>9636</v>
      </c>
      <c r="P12" s="84">
        <f t="shared" si="0"/>
        <v>809745</v>
      </c>
      <c r="Q12" s="84">
        <f t="shared" si="0"/>
        <v>21269</v>
      </c>
      <c r="R12" s="84">
        <f t="shared" si="0"/>
        <v>0</v>
      </c>
      <c r="S12" s="84">
        <f t="shared" si="0"/>
        <v>1</v>
      </c>
      <c r="T12" s="84">
        <f>T13-T11-T10-T9-T8-T7-T6</f>
        <v>0</v>
      </c>
      <c r="U12" s="84">
        <f>U13-U11-U10-U9-U8-U7-U6</f>
        <v>1</v>
      </c>
      <c r="V12" s="84">
        <f t="shared" si="0"/>
        <v>0</v>
      </c>
      <c r="W12" s="84">
        <f t="shared" si="0"/>
        <v>0</v>
      </c>
      <c r="X12" s="84">
        <f t="shared" si="0"/>
        <v>0</v>
      </c>
      <c r="Y12" s="84">
        <f t="shared" si="0"/>
        <v>-1</v>
      </c>
      <c r="Z12" s="84">
        <f t="shared" si="0"/>
        <v>0</v>
      </c>
      <c r="AA12" s="84">
        <f t="shared" si="0"/>
        <v>6.9122485513162246E-13</v>
      </c>
      <c r="AB12" s="84">
        <f t="shared" si="0"/>
        <v>0</v>
      </c>
      <c r="AC12" s="84">
        <f t="shared" si="0"/>
        <v>-9.4502183856093325E-13</v>
      </c>
      <c r="AD12" s="84">
        <f t="shared" si="0"/>
        <v>23085</v>
      </c>
      <c r="AE12" s="84">
        <f t="shared" si="0"/>
        <v>1310.7400000000007</v>
      </c>
      <c r="AF12" s="84">
        <f t="shared" si="0"/>
        <v>65012</v>
      </c>
      <c r="AG12" s="84">
        <f t="shared" si="0"/>
        <v>3542.14</v>
      </c>
      <c r="AH12" s="84">
        <f t="shared" si="0"/>
        <v>17589</v>
      </c>
      <c r="AI12" s="84">
        <f t="shared" si="0"/>
        <v>1620.8599999999969</v>
      </c>
      <c r="AJ12" s="84">
        <f t="shared" si="0"/>
        <v>77007</v>
      </c>
      <c r="AK12" s="84">
        <f t="shared" si="0"/>
        <v>6515.4699999999721</v>
      </c>
      <c r="AL12" s="84">
        <f t="shared" si="0"/>
        <v>185481</v>
      </c>
      <c r="AM12" s="84">
        <f t="shared" si="0"/>
        <v>2889</v>
      </c>
      <c r="AN12" s="84">
        <f t="shared" si="0"/>
        <v>378428</v>
      </c>
      <c r="AO12" s="84">
        <f t="shared" si="0"/>
        <v>6741</v>
      </c>
      <c r="AP12" s="84">
        <f t="shared" si="0"/>
        <v>503485</v>
      </c>
      <c r="AQ12" s="84">
        <f t="shared" si="0"/>
        <v>21947.399999999987</v>
      </c>
      <c r="AR12" s="84">
        <f t="shared" si="0"/>
        <v>1197580</v>
      </c>
      <c r="AS12" s="84">
        <f t="shared" si="0"/>
        <v>51202</v>
      </c>
      <c r="AT12" s="84">
        <f t="shared" si="0"/>
        <v>2106248</v>
      </c>
      <c r="AU12" s="84">
        <f t="shared" si="0"/>
        <v>41067</v>
      </c>
      <c r="AV12" s="84">
        <f t="shared" si="0"/>
        <v>4064521</v>
      </c>
      <c r="AW12" s="84">
        <f t="shared" si="0"/>
        <v>85163</v>
      </c>
      <c r="AX12" s="84">
        <f t="shared" si="0"/>
        <v>6580</v>
      </c>
      <c r="AY12" s="84">
        <f t="shared" si="0"/>
        <v>74.916152899990266</v>
      </c>
      <c r="AZ12" s="84">
        <f t="shared" si="0"/>
        <v>6580</v>
      </c>
      <c r="BA12" s="84">
        <f t="shared" si="0"/>
        <v>74.916149000026053</v>
      </c>
      <c r="BB12" s="84">
        <f t="shared" si="0"/>
        <v>94415</v>
      </c>
      <c r="BC12" s="84">
        <f t="shared" si="0"/>
        <v>1701.6200000000001</v>
      </c>
      <c r="BD12" s="84">
        <f t="shared" si="0"/>
        <v>201049</v>
      </c>
      <c r="BE12" s="84">
        <f t="shared" si="0"/>
        <v>4468.0199999999968</v>
      </c>
      <c r="BF12" s="84">
        <f t="shared" si="0"/>
        <v>206942</v>
      </c>
      <c r="BG12" s="84">
        <f t="shared" si="0"/>
        <v>5026</v>
      </c>
      <c r="BH12" s="84">
        <f t="shared" si="0"/>
        <v>473573</v>
      </c>
      <c r="BI12" s="84">
        <f t="shared" si="0"/>
        <v>12791</v>
      </c>
      <c r="BJ12" s="84">
        <f t="shared" si="0"/>
        <v>227395</v>
      </c>
      <c r="BK12" s="84">
        <f t="shared" ref="BK12:DV12" si="1">BK13-BK11-BK10-BK9-BK8-BK7-BK6</f>
        <v>10678</v>
      </c>
      <c r="BL12" s="84">
        <f t="shared" si="1"/>
        <v>542872</v>
      </c>
      <c r="BM12" s="84">
        <f t="shared" si="1"/>
        <v>25697</v>
      </c>
      <c r="BN12" s="84">
        <f t="shared" si="1"/>
        <v>266</v>
      </c>
      <c r="BO12" s="84">
        <f t="shared" si="1"/>
        <v>72</v>
      </c>
      <c r="BP12" s="84">
        <f t="shared" si="1"/>
        <v>1093</v>
      </c>
      <c r="BQ12" s="84">
        <f t="shared" si="1"/>
        <v>204</v>
      </c>
      <c r="BR12" s="84">
        <f t="shared" si="1"/>
        <v>0</v>
      </c>
      <c r="BS12" s="84">
        <f t="shared" si="1"/>
        <v>0</v>
      </c>
      <c r="BT12" s="84">
        <f t="shared" si="1"/>
        <v>0</v>
      </c>
      <c r="BU12" s="84">
        <f t="shared" si="1"/>
        <v>-1</v>
      </c>
      <c r="BV12" s="25">
        <f t="shared" si="1"/>
        <v>0</v>
      </c>
      <c r="BW12" s="25">
        <f t="shared" si="1"/>
        <v>2.2250999754760414E-3</v>
      </c>
      <c r="BX12" s="25">
        <f t="shared" si="1"/>
        <v>0</v>
      </c>
      <c r="BY12" s="25">
        <f t="shared" si="1"/>
        <v>-3.6003001732751727E-3</v>
      </c>
      <c r="BZ12" s="84">
        <f t="shared" si="1"/>
        <v>21843</v>
      </c>
      <c r="CA12" s="84">
        <f t="shared" si="1"/>
        <v>615</v>
      </c>
      <c r="CB12" s="84">
        <f t="shared" si="1"/>
        <v>41730</v>
      </c>
      <c r="CC12" s="84">
        <f t="shared" si="1"/>
        <v>1488</v>
      </c>
      <c r="CD12" s="84">
        <f t="shared" si="1"/>
        <v>0</v>
      </c>
      <c r="CE12" s="84">
        <f t="shared" si="1"/>
        <v>-1.191000000517306E-3</v>
      </c>
      <c r="CF12" s="84">
        <f t="shared" si="1"/>
        <v>0</v>
      </c>
      <c r="CG12" s="84">
        <f t="shared" si="1"/>
        <v>6.3990000003286696E-3</v>
      </c>
      <c r="CH12" s="84">
        <f t="shared" si="1"/>
        <v>320609</v>
      </c>
      <c r="CI12" s="84">
        <f t="shared" si="1"/>
        <v>15848</v>
      </c>
      <c r="CJ12" s="84">
        <f t="shared" si="1"/>
        <v>725828</v>
      </c>
      <c r="CK12" s="84">
        <f t="shared" si="1"/>
        <v>38322</v>
      </c>
      <c r="CL12" s="84">
        <f t="shared" si="1"/>
        <v>0</v>
      </c>
      <c r="CM12" s="84">
        <f t="shared" si="1"/>
        <v>1</v>
      </c>
      <c r="CN12" s="84">
        <f t="shared" si="1"/>
        <v>0</v>
      </c>
      <c r="CO12" s="84">
        <f t="shared" si="1"/>
        <v>-1</v>
      </c>
      <c r="CP12" s="84">
        <f t="shared" si="1"/>
        <v>0</v>
      </c>
      <c r="CQ12" s="84">
        <f t="shared" si="1"/>
        <v>-1</v>
      </c>
      <c r="CR12" s="84">
        <f t="shared" si="1"/>
        <v>0</v>
      </c>
      <c r="CS12" s="84">
        <f t="shared" si="1"/>
        <v>1</v>
      </c>
      <c r="CT12" s="84">
        <f t="shared" si="1"/>
        <v>0</v>
      </c>
      <c r="CU12" s="84">
        <f t="shared" si="1"/>
        <v>-0.39999999999417923</v>
      </c>
      <c r="CV12" s="84">
        <f t="shared" si="1"/>
        <v>0</v>
      </c>
      <c r="CW12" s="84">
        <f t="shared" si="1"/>
        <v>-0.56999999994877726</v>
      </c>
      <c r="CX12" s="84">
        <f t="shared" si="1"/>
        <v>22482</v>
      </c>
      <c r="CY12" s="84">
        <f t="shared" si="1"/>
        <v>190.44000000000233</v>
      </c>
      <c r="CZ12" s="84">
        <f t="shared" si="1"/>
        <v>36192</v>
      </c>
      <c r="DA12" s="84">
        <f t="shared" si="1"/>
        <v>368.64000000000669</v>
      </c>
      <c r="DB12" s="84">
        <f t="shared" si="1"/>
        <v>29591</v>
      </c>
      <c r="DC12" s="84">
        <f t="shared" si="1"/>
        <v>4176</v>
      </c>
      <c r="DD12" s="84">
        <f t="shared" si="1"/>
        <v>87523</v>
      </c>
      <c r="DE12" s="84">
        <f t="shared" si="1"/>
        <v>12545</v>
      </c>
      <c r="DF12" s="84">
        <f t="shared" si="1"/>
        <v>328080</v>
      </c>
      <c r="DG12" s="84">
        <f t="shared" si="1"/>
        <v>24914</v>
      </c>
      <c r="DH12" s="84">
        <f t="shared" si="1"/>
        <v>661411</v>
      </c>
      <c r="DI12" s="84">
        <f t="shared" si="1"/>
        <v>-11193</v>
      </c>
      <c r="DJ12" s="84">
        <f t="shared" si="1"/>
        <v>153</v>
      </c>
      <c r="DK12" s="84">
        <f t="shared" si="1"/>
        <v>-1</v>
      </c>
      <c r="DL12" s="84">
        <f t="shared" si="1"/>
        <v>0</v>
      </c>
      <c r="DM12" s="84">
        <f t="shared" si="1"/>
        <v>0</v>
      </c>
      <c r="DN12" s="84">
        <f t="shared" si="1"/>
        <v>337104</v>
      </c>
      <c r="DO12" s="84">
        <f t="shared" si="1"/>
        <v>11230.650000000023</v>
      </c>
      <c r="DP12" s="84">
        <f t="shared" si="1"/>
        <v>680149</v>
      </c>
      <c r="DQ12" s="84">
        <f t="shared" si="1"/>
        <v>23513.750000000058</v>
      </c>
      <c r="DR12" s="84">
        <f t="shared" si="1"/>
        <v>0</v>
      </c>
      <c r="DS12" s="84">
        <f t="shared" si="1"/>
        <v>0</v>
      </c>
      <c r="DT12" s="84">
        <f t="shared" si="1"/>
        <v>0</v>
      </c>
      <c r="DU12" s="84">
        <f t="shared" si="1"/>
        <v>-1</v>
      </c>
      <c r="DV12" s="84">
        <f t="shared" si="1"/>
        <v>0</v>
      </c>
      <c r="DW12" s="84">
        <f t="shared" ref="DW12:DY12" si="2">DW13-DW11-DW10-DW9-DW8-DW7-DW6</f>
        <v>0</v>
      </c>
      <c r="DX12" s="84">
        <f t="shared" si="2"/>
        <v>0</v>
      </c>
      <c r="DY12" s="84">
        <f t="shared" si="2"/>
        <v>1</v>
      </c>
    </row>
    <row r="13" spans="1:129" s="7" customFormat="1" x14ac:dyDescent="0.25">
      <c r="A13" s="10" t="s">
        <v>121</v>
      </c>
      <c r="B13" s="10">
        <v>350405</v>
      </c>
      <c r="C13" s="10">
        <v>12769</v>
      </c>
      <c r="D13" s="10">
        <v>747174</v>
      </c>
      <c r="E13" s="10">
        <v>27728</v>
      </c>
      <c r="F13" s="10">
        <v>130563</v>
      </c>
      <c r="G13" s="10">
        <v>30930</v>
      </c>
      <c r="H13" s="10">
        <v>448312</v>
      </c>
      <c r="I13" s="10">
        <v>85932</v>
      </c>
      <c r="J13" s="10">
        <v>4756853</v>
      </c>
      <c r="K13" s="10">
        <v>174248.45</v>
      </c>
      <c r="L13" s="10">
        <v>28498277</v>
      </c>
      <c r="M13" s="10">
        <v>896202.85</v>
      </c>
      <c r="N13" s="10">
        <v>6450318</v>
      </c>
      <c r="O13" s="10">
        <v>338490</v>
      </c>
      <c r="P13" s="10">
        <v>16693822</v>
      </c>
      <c r="Q13" s="10">
        <v>979385</v>
      </c>
      <c r="R13" s="10">
        <v>1896875</v>
      </c>
      <c r="S13" s="10">
        <v>87340</v>
      </c>
      <c r="T13" s="10">
        <v>4382574</v>
      </c>
      <c r="U13" s="10">
        <v>242936</v>
      </c>
      <c r="V13" s="10">
        <v>1802327</v>
      </c>
      <c r="W13" s="10">
        <v>116705</v>
      </c>
      <c r="X13" s="10">
        <v>4408739</v>
      </c>
      <c r="Y13" s="10">
        <v>311801</v>
      </c>
      <c r="Z13" s="10">
        <v>1021</v>
      </c>
      <c r="AA13" s="10">
        <v>11927.29</v>
      </c>
      <c r="AB13" s="10">
        <v>3298</v>
      </c>
      <c r="AC13" s="10">
        <v>29035.42</v>
      </c>
      <c r="AD13" s="10">
        <v>49099</v>
      </c>
      <c r="AE13" s="10">
        <v>5974.35</v>
      </c>
      <c r="AF13" s="10">
        <v>129990</v>
      </c>
      <c r="AG13" s="10">
        <v>15376.19</v>
      </c>
      <c r="AH13" s="84">
        <v>665443</v>
      </c>
      <c r="AI13" s="84">
        <v>101135.64</v>
      </c>
      <c r="AJ13" s="84">
        <v>2371489</v>
      </c>
      <c r="AK13" s="84">
        <v>341707.42</v>
      </c>
      <c r="AL13" s="10">
        <v>1727637</v>
      </c>
      <c r="AM13" s="10">
        <v>68019</v>
      </c>
      <c r="AN13" s="10">
        <v>3748567</v>
      </c>
      <c r="AO13" s="10">
        <v>165323</v>
      </c>
      <c r="AP13" s="10">
        <v>2929922</v>
      </c>
      <c r="AQ13" s="10">
        <v>282899.3</v>
      </c>
      <c r="AR13" s="10">
        <v>7252877</v>
      </c>
      <c r="AS13" s="10">
        <v>874569.4</v>
      </c>
      <c r="AT13" s="10">
        <v>7506623</v>
      </c>
      <c r="AU13" s="10">
        <v>403361</v>
      </c>
      <c r="AV13" s="10">
        <v>15672457</v>
      </c>
      <c r="AW13" s="10">
        <v>1052507</v>
      </c>
      <c r="AX13" s="10">
        <v>2544113</v>
      </c>
      <c r="AY13" s="10">
        <v>221199.67879999999</v>
      </c>
      <c r="AZ13" s="10">
        <v>6252664</v>
      </c>
      <c r="BA13" s="10">
        <v>643994.69900000002</v>
      </c>
      <c r="BB13" s="10">
        <v>585362</v>
      </c>
      <c r="BC13" s="10">
        <v>14872.58</v>
      </c>
      <c r="BD13" s="10">
        <v>1519230</v>
      </c>
      <c r="BE13" s="10">
        <v>38230.949999999997</v>
      </c>
      <c r="BF13" s="10">
        <v>869126</v>
      </c>
      <c r="BG13" s="10">
        <v>39533</v>
      </c>
      <c r="BH13" s="10">
        <v>1862408</v>
      </c>
      <c r="BI13" s="10">
        <v>104605</v>
      </c>
      <c r="BJ13" s="10">
        <v>467354</v>
      </c>
      <c r="BK13" s="10">
        <v>33828</v>
      </c>
      <c r="BL13" s="10">
        <v>1137174</v>
      </c>
      <c r="BM13" s="10">
        <v>85185</v>
      </c>
      <c r="BN13" s="84">
        <v>68483</v>
      </c>
      <c r="BO13" s="10">
        <v>19916</v>
      </c>
      <c r="BP13" s="10">
        <v>225973</v>
      </c>
      <c r="BQ13" s="10">
        <v>52833</v>
      </c>
      <c r="BR13" s="10">
        <v>193724</v>
      </c>
      <c r="BS13" s="10">
        <v>43099</v>
      </c>
      <c r="BT13" s="10">
        <v>610887</v>
      </c>
      <c r="BU13" s="10">
        <v>30186</v>
      </c>
      <c r="BV13" s="10">
        <v>3537278</v>
      </c>
      <c r="BW13" s="10">
        <v>344677.54</v>
      </c>
      <c r="BX13" s="93">
        <v>9590955</v>
      </c>
      <c r="BY13" s="93">
        <v>1039148.33</v>
      </c>
      <c r="BZ13" s="10">
        <v>99898</v>
      </c>
      <c r="CA13" s="10">
        <v>3366</v>
      </c>
      <c r="CB13" s="10">
        <v>211003</v>
      </c>
      <c r="CC13" s="10">
        <v>7239</v>
      </c>
      <c r="CD13" s="10">
        <v>33844</v>
      </c>
      <c r="CE13" s="10">
        <v>8831.76</v>
      </c>
      <c r="CF13" s="10">
        <v>79388</v>
      </c>
      <c r="CG13" s="10">
        <v>18009</v>
      </c>
      <c r="CH13" s="10">
        <v>1754094</v>
      </c>
      <c r="CI13" s="10">
        <v>180168</v>
      </c>
      <c r="CJ13" s="10">
        <v>4233336</v>
      </c>
      <c r="CK13" s="10">
        <v>630224</v>
      </c>
      <c r="CL13" s="10">
        <v>269500</v>
      </c>
      <c r="CM13" s="10">
        <v>61533</v>
      </c>
      <c r="CN13" s="10">
        <v>804571</v>
      </c>
      <c r="CO13" s="10">
        <v>175550</v>
      </c>
      <c r="CP13" s="10">
        <v>601404</v>
      </c>
      <c r="CQ13" s="10">
        <v>81041</v>
      </c>
      <c r="CR13" s="10">
        <v>1421929</v>
      </c>
      <c r="CS13" s="10">
        <v>203029</v>
      </c>
      <c r="CT13" s="10">
        <v>3870386</v>
      </c>
      <c r="CU13" s="10">
        <v>165992.6</v>
      </c>
      <c r="CV13" s="10">
        <v>5402007</v>
      </c>
      <c r="CW13" s="10">
        <v>527854.43000000005</v>
      </c>
      <c r="CX13" s="10">
        <v>1211124</v>
      </c>
      <c r="CY13" s="10">
        <v>54938.47</v>
      </c>
      <c r="CZ13" s="10">
        <v>2912694</v>
      </c>
      <c r="DA13" s="10">
        <v>155831.92000000001</v>
      </c>
      <c r="DB13" s="84">
        <v>1676723</v>
      </c>
      <c r="DC13" s="84">
        <v>217077</v>
      </c>
      <c r="DD13" s="84">
        <v>4889285</v>
      </c>
      <c r="DE13" s="84">
        <v>612671</v>
      </c>
      <c r="DF13" s="10">
        <v>3099572</v>
      </c>
      <c r="DG13" s="10">
        <v>225005</v>
      </c>
      <c r="DH13" s="10">
        <v>7078162</v>
      </c>
      <c r="DI13" s="10">
        <v>603104</v>
      </c>
      <c r="DJ13" s="10">
        <v>7422155</v>
      </c>
      <c r="DK13" s="10">
        <v>678563</v>
      </c>
      <c r="DL13" s="10"/>
      <c r="DM13" s="10"/>
      <c r="DN13" s="10">
        <v>2524649</v>
      </c>
      <c r="DO13" s="10">
        <v>292520</v>
      </c>
      <c r="DP13" s="10">
        <v>7327682</v>
      </c>
      <c r="DQ13" s="10">
        <v>920156</v>
      </c>
      <c r="DR13" s="10">
        <v>3898091</v>
      </c>
      <c r="DS13" s="10">
        <v>412093</v>
      </c>
      <c r="DT13" s="10">
        <v>10772089</v>
      </c>
      <c r="DU13" s="10">
        <v>1167134</v>
      </c>
      <c r="DV13" s="84">
        <v>419236</v>
      </c>
      <c r="DW13" s="84">
        <v>82656</v>
      </c>
      <c r="DX13" s="84">
        <v>1137682</v>
      </c>
      <c r="DY13" s="84">
        <v>218024</v>
      </c>
    </row>
    <row r="14" spans="1:129" x14ac:dyDescent="0.25">
      <c r="A14" s="84" t="s">
        <v>122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92">
        <v>241714</v>
      </c>
      <c r="BW14" s="92">
        <v>4776.24</v>
      </c>
      <c r="BX14" s="91">
        <v>559421</v>
      </c>
      <c r="BY14" s="91">
        <v>12386.168719200001</v>
      </c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>
        <v>22</v>
      </c>
      <c r="CU14" s="84">
        <v>53</v>
      </c>
      <c r="CV14" s="84">
        <v>362</v>
      </c>
      <c r="CW14" s="84">
        <v>159</v>
      </c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>
        <v>24</v>
      </c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</row>
    <row r="15" spans="1:129" s="7" customFormat="1" x14ac:dyDescent="0.25">
      <c r="A15" s="10" t="s">
        <v>123</v>
      </c>
      <c r="B15" s="10">
        <f>B13+B14</f>
        <v>350405</v>
      </c>
      <c r="C15" s="10">
        <f t="shared" ref="C15:BJ15" si="3">C13+C14</f>
        <v>12769</v>
      </c>
      <c r="D15" s="10">
        <f t="shared" si="3"/>
        <v>747174</v>
      </c>
      <c r="E15" s="10">
        <f t="shared" si="3"/>
        <v>27728</v>
      </c>
      <c r="F15" s="10">
        <f t="shared" si="3"/>
        <v>130563</v>
      </c>
      <c r="G15" s="10">
        <f t="shared" si="3"/>
        <v>30930</v>
      </c>
      <c r="H15" s="10">
        <f t="shared" si="3"/>
        <v>448312</v>
      </c>
      <c r="I15" s="10">
        <f t="shared" si="3"/>
        <v>85932</v>
      </c>
      <c r="J15" s="10">
        <f t="shared" si="3"/>
        <v>4756853</v>
      </c>
      <c r="K15" s="10">
        <f t="shared" si="3"/>
        <v>174248.45</v>
      </c>
      <c r="L15" s="10">
        <f t="shared" si="3"/>
        <v>28498277</v>
      </c>
      <c r="M15" s="10">
        <f t="shared" si="3"/>
        <v>896202.85</v>
      </c>
      <c r="N15" s="10">
        <f t="shared" si="3"/>
        <v>6450318</v>
      </c>
      <c r="O15" s="10">
        <f t="shared" si="3"/>
        <v>338490</v>
      </c>
      <c r="P15" s="10">
        <f t="shared" si="3"/>
        <v>16693822</v>
      </c>
      <c r="Q15" s="10">
        <f t="shared" si="3"/>
        <v>979385</v>
      </c>
      <c r="R15" s="10">
        <f t="shared" si="3"/>
        <v>1896875</v>
      </c>
      <c r="S15" s="10">
        <f t="shared" si="3"/>
        <v>87340</v>
      </c>
      <c r="T15" s="10">
        <f t="shared" si="3"/>
        <v>4382574</v>
      </c>
      <c r="U15" s="10">
        <f t="shared" si="3"/>
        <v>242936</v>
      </c>
      <c r="V15" s="10">
        <f t="shared" si="3"/>
        <v>1802327</v>
      </c>
      <c r="W15" s="10">
        <f t="shared" si="3"/>
        <v>116705</v>
      </c>
      <c r="X15" s="10">
        <f t="shared" si="3"/>
        <v>4408739</v>
      </c>
      <c r="Y15" s="10">
        <f t="shared" si="3"/>
        <v>311801</v>
      </c>
      <c r="Z15" s="10">
        <f t="shared" si="3"/>
        <v>1021</v>
      </c>
      <c r="AA15" s="10">
        <f t="shared" si="3"/>
        <v>11927.29</v>
      </c>
      <c r="AB15" s="10">
        <f t="shared" si="3"/>
        <v>3298</v>
      </c>
      <c r="AC15" s="10">
        <f t="shared" si="3"/>
        <v>29035.42</v>
      </c>
      <c r="AD15" s="10">
        <f t="shared" si="3"/>
        <v>49099</v>
      </c>
      <c r="AE15" s="10">
        <f t="shared" si="3"/>
        <v>5974.35</v>
      </c>
      <c r="AF15" s="10">
        <f t="shared" si="3"/>
        <v>129990</v>
      </c>
      <c r="AG15" s="10">
        <f t="shared" si="3"/>
        <v>15376.19</v>
      </c>
      <c r="AH15" s="10">
        <f t="shared" si="3"/>
        <v>665443</v>
      </c>
      <c r="AI15" s="10">
        <f t="shared" si="3"/>
        <v>101135.64</v>
      </c>
      <c r="AJ15" s="10">
        <f t="shared" si="3"/>
        <v>2371489</v>
      </c>
      <c r="AK15" s="10">
        <f t="shared" si="3"/>
        <v>341707.42</v>
      </c>
      <c r="AL15" s="10">
        <f t="shared" si="3"/>
        <v>1727637</v>
      </c>
      <c r="AM15" s="10">
        <f t="shared" si="3"/>
        <v>68019</v>
      </c>
      <c r="AN15" s="10">
        <f t="shared" si="3"/>
        <v>3748567</v>
      </c>
      <c r="AO15" s="10">
        <f t="shared" si="3"/>
        <v>165323</v>
      </c>
      <c r="AP15" s="10">
        <f t="shared" si="3"/>
        <v>2929922</v>
      </c>
      <c r="AQ15" s="10">
        <f t="shared" si="3"/>
        <v>282899.3</v>
      </c>
      <c r="AR15" s="10">
        <f t="shared" si="3"/>
        <v>7252877</v>
      </c>
      <c r="AS15" s="10">
        <f t="shared" si="3"/>
        <v>874569.4</v>
      </c>
      <c r="AT15" s="10">
        <f t="shared" si="3"/>
        <v>7506623</v>
      </c>
      <c r="AU15" s="10">
        <f t="shared" si="3"/>
        <v>403361</v>
      </c>
      <c r="AV15" s="10">
        <f t="shared" si="3"/>
        <v>15672457</v>
      </c>
      <c r="AW15" s="10">
        <f t="shared" si="3"/>
        <v>1052507</v>
      </c>
      <c r="AX15" s="10">
        <f t="shared" si="3"/>
        <v>2544113</v>
      </c>
      <c r="AY15" s="10">
        <f t="shared" si="3"/>
        <v>221199.67879999999</v>
      </c>
      <c r="AZ15" s="10">
        <f t="shared" si="3"/>
        <v>6252664</v>
      </c>
      <c r="BA15" s="10">
        <f t="shared" si="3"/>
        <v>643994.69900000002</v>
      </c>
      <c r="BB15" s="10">
        <f t="shared" si="3"/>
        <v>585362</v>
      </c>
      <c r="BC15" s="10">
        <f t="shared" si="3"/>
        <v>14872.58</v>
      </c>
      <c r="BD15" s="10">
        <f t="shared" si="3"/>
        <v>1519230</v>
      </c>
      <c r="BE15" s="10">
        <f t="shared" si="3"/>
        <v>38230.949999999997</v>
      </c>
      <c r="BF15" s="10">
        <f t="shared" si="3"/>
        <v>869126</v>
      </c>
      <c r="BG15" s="10">
        <f t="shared" si="3"/>
        <v>39533</v>
      </c>
      <c r="BH15" s="10">
        <f t="shared" si="3"/>
        <v>1862408</v>
      </c>
      <c r="BI15" s="10">
        <f t="shared" si="3"/>
        <v>104605</v>
      </c>
      <c r="BJ15" s="10">
        <f t="shared" si="3"/>
        <v>467354</v>
      </c>
      <c r="BK15" s="10">
        <f t="shared" ref="BK15:DV15" si="4">BK13+BK14</f>
        <v>33828</v>
      </c>
      <c r="BL15" s="10">
        <f t="shared" si="4"/>
        <v>1137174</v>
      </c>
      <c r="BM15" s="10">
        <f t="shared" si="4"/>
        <v>85185</v>
      </c>
      <c r="BN15" s="10">
        <f t="shared" si="4"/>
        <v>68483</v>
      </c>
      <c r="BO15" s="10">
        <f t="shared" si="4"/>
        <v>19916</v>
      </c>
      <c r="BP15" s="10">
        <f t="shared" si="4"/>
        <v>225973</v>
      </c>
      <c r="BQ15" s="10">
        <f t="shared" si="4"/>
        <v>52833</v>
      </c>
      <c r="BR15" s="10">
        <f t="shared" si="4"/>
        <v>193724</v>
      </c>
      <c r="BS15" s="10">
        <f t="shared" si="4"/>
        <v>43099</v>
      </c>
      <c r="BT15" s="10">
        <f t="shared" si="4"/>
        <v>610887</v>
      </c>
      <c r="BU15" s="10">
        <f t="shared" si="4"/>
        <v>30186</v>
      </c>
      <c r="BV15" s="10">
        <f t="shared" si="4"/>
        <v>3778992</v>
      </c>
      <c r="BW15" s="10">
        <f t="shared" si="4"/>
        <v>349453.77999999997</v>
      </c>
      <c r="BX15" s="10">
        <f t="shared" si="4"/>
        <v>10150376</v>
      </c>
      <c r="BY15" s="10">
        <f t="shared" si="4"/>
        <v>1051534.4987192</v>
      </c>
      <c r="BZ15" s="10">
        <f t="shared" si="4"/>
        <v>99898</v>
      </c>
      <c r="CA15" s="10">
        <f t="shared" si="4"/>
        <v>3366</v>
      </c>
      <c r="CB15" s="10">
        <f t="shared" si="4"/>
        <v>211003</v>
      </c>
      <c r="CC15" s="10">
        <f t="shared" si="4"/>
        <v>7239</v>
      </c>
      <c r="CD15" s="10">
        <f t="shared" si="4"/>
        <v>33844</v>
      </c>
      <c r="CE15" s="10">
        <f t="shared" si="4"/>
        <v>8831.76</v>
      </c>
      <c r="CF15" s="10">
        <f t="shared" si="4"/>
        <v>79388</v>
      </c>
      <c r="CG15" s="10">
        <f t="shared" si="4"/>
        <v>18009</v>
      </c>
      <c r="CH15" s="10">
        <f t="shared" si="4"/>
        <v>1754094</v>
      </c>
      <c r="CI15" s="10">
        <f t="shared" si="4"/>
        <v>180168</v>
      </c>
      <c r="CJ15" s="10">
        <f t="shared" si="4"/>
        <v>4233336</v>
      </c>
      <c r="CK15" s="10">
        <f t="shared" si="4"/>
        <v>630224</v>
      </c>
      <c r="CL15" s="10">
        <f t="shared" si="4"/>
        <v>269500</v>
      </c>
      <c r="CM15" s="10">
        <f t="shared" si="4"/>
        <v>61533</v>
      </c>
      <c r="CN15" s="10">
        <f t="shared" si="4"/>
        <v>804571</v>
      </c>
      <c r="CO15" s="10">
        <f t="shared" si="4"/>
        <v>175550</v>
      </c>
      <c r="CP15" s="10">
        <f t="shared" si="4"/>
        <v>601404</v>
      </c>
      <c r="CQ15" s="10">
        <f t="shared" si="4"/>
        <v>81041</v>
      </c>
      <c r="CR15" s="10">
        <f t="shared" si="4"/>
        <v>1421929</v>
      </c>
      <c r="CS15" s="10">
        <f t="shared" si="4"/>
        <v>203029</v>
      </c>
      <c r="CT15" s="10">
        <f t="shared" si="4"/>
        <v>3870408</v>
      </c>
      <c r="CU15" s="10">
        <f t="shared" si="4"/>
        <v>166045.6</v>
      </c>
      <c r="CV15" s="10">
        <f t="shared" si="4"/>
        <v>5402369</v>
      </c>
      <c r="CW15" s="10">
        <f t="shared" si="4"/>
        <v>528013.43000000005</v>
      </c>
      <c r="CX15" s="10">
        <f t="shared" si="4"/>
        <v>1211124</v>
      </c>
      <c r="CY15" s="10">
        <f t="shared" si="4"/>
        <v>54938.47</v>
      </c>
      <c r="CZ15" s="10">
        <f t="shared" si="4"/>
        <v>2912694</v>
      </c>
      <c r="DA15" s="10">
        <f t="shared" si="4"/>
        <v>155831.92000000001</v>
      </c>
      <c r="DB15" s="10">
        <f t="shared" si="4"/>
        <v>1676723</v>
      </c>
      <c r="DC15" s="10">
        <f t="shared" si="4"/>
        <v>217077</v>
      </c>
      <c r="DD15" s="10">
        <f t="shared" si="4"/>
        <v>4889285</v>
      </c>
      <c r="DE15" s="10">
        <f t="shared" si="4"/>
        <v>612671</v>
      </c>
      <c r="DF15" s="10">
        <f t="shared" si="4"/>
        <v>3099572</v>
      </c>
      <c r="DG15" s="10">
        <f t="shared" si="4"/>
        <v>225005</v>
      </c>
      <c r="DH15" s="10">
        <f t="shared" si="4"/>
        <v>7078162</v>
      </c>
      <c r="DI15" s="10">
        <f t="shared" si="4"/>
        <v>603104</v>
      </c>
      <c r="DJ15" s="10">
        <f t="shared" si="4"/>
        <v>7422179</v>
      </c>
      <c r="DK15" s="10">
        <f t="shared" si="4"/>
        <v>678563</v>
      </c>
      <c r="DL15" s="10">
        <f t="shared" si="4"/>
        <v>0</v>
      </c>
      <c r="DM15" s="10">
        <f t="shared" si="4"/>
        <v>0</v>
      </c>
      <c r="DN15" s="10">
        <f t="shared" si="4"/>
        <v>2524649</v>
      </c>
      <c r="DO15" s="10">
        <f t="shared" si="4"/>
        <v>292520</v>
      </c>
      <c r="DP15" s="10">
        <f t="shared" si="4"/>
        <v>7327682</v>
      </c>
      <c r="DQ15" s="10">
        <f t="shared" si="4"/>
        <v>920156</v>
      </c>
      <c r="DR15" s="10">
        <f t="shared" si="4"/>
        <v>3898091</v>
      </c>
      <c r="DS15" s="10">
        <f t="shared" si="4"/>
        <v>412093</v>
      </c>
      <c r="DT15" s="10">
        <f t="shared" si="4"/>
        <v>10772089</v>
      </c>
      <c r="DU15" s="10">
        <f t="shared" si="4"/>
        <v>1167134</v>
      </c>
      <c r="DV15" s="10">
        <f t="shared" si="4"/>
        <v>419236</v>
      </c>
      <c r="DW15" s="10">
        <f t="shared" ref="DW15:DY15" si="5">DW13+DW14</f>
        <v>82656</v>
      </c>
      <c r="DX15" s="10">
        <f t="shared" si="5"/>
        <v>1137682</v>
      </c>
      <c r="DY15" s="10">
        <f t="shared" si="5"/>
        <v>218024</v>
      </c>
    </row>
    <row r="18" spans="12:55" x14ac:dyDescent="0.25">
      <c r="L18" s="76"/>
      <c r="AT18" s="76"/>
    </row>
    <row r="19" spans="12:55" x14ac:dyDescent="0.25">
      <c r="L19" s="76"/>
      <c r="BC19" s="76"/>
    </row>
    <row r="21" spans="12:55" x14ac:dyDescent="0.25">
      <c r="AT21" s="76"/>
    </row>
  </sheetData>
  <mergeCells count="96">
    <mergeCell ref="BV3:BY3"/>
    <mergeCell ref="AH4:AI4"/>
    <mergeCell ref="AD3:AG3"/>
    <mergeCell ref="AH3:AK3"/>
    <mergeCell ref="AL3:AO3"/>
    <mergeCell ref="DJ3:DM3"/>
    <mergeCell ref="BZ3:CC3"/>
    <mergeCell ref="CD3:CG3"/>
    <mergeCell ref="CH3:CK3"/>
    <mergeCell ref="CL3:CO3"/>
    <mergeCell ref="AT3:AW3"/>
    <mergeCell ref="AX3:BA3"/>
    <mergeCell ref="BB3:BE3"/>
    <mergeCell ref="BF3:BI3"/>
    <mergeCell ref="BJ3:BM3"/>
    <mergeCell ref="BN3:BQ3"/>
    <mergeCell ref="BR3:BU3"/>
    <mergeCell ref="Z4:AA4"/>
    <mergeCell ref="AB4:AC4"/>
    <mergeCell ref="AD4:AE4"/>
    <mergeCell ref="Z3:AC3"/>
    <mergeCell ref="AF4:AG4"/>
    <mergeCell ref="DD4:DE4"/>
    <mergeCell ref="DF4:DG4"/>
    <mergeCell ref="DH4:DI4"/>
    <mergeCell ref="B3:E3"/>
    <mergeCell ref="F3:I3"/>
    <mergeCell ref="J3:M3"/>
    <mergeCell ref="N3:Q3"/>
    <mergeCell ref="R3:U3"/>
    <mergeCell ref="V3:Y3"/>
    <mergeCell ref="X4:Y4"/>
    <mergeCell ref="AP3:AS3"/>
    <mergeCell ref="AJ4:AK4"/>
    <mergeCell ref="AL4:AM4"/>
    <mergeCell ref="AN4:AO4"/>
    <mergeCell ref="AP4:AQ4"/>
    <mergeCell ref="AR4:AS4"/>
    <mergeCell ref="DV3:DY3"/>
    <mergeCell ref="DX4:DY4"/>
    <mergeCell ref="DV4:DW4"/>
    <mergeCell ref="DP4:DQ4"/>
    <mergeCell ref="DR4:DS4"/>
    <mergeCell ref="DT4:DU4"/>
    <mergeCell ref="V4:W4"/>
    <mergeCell ref="AT4:AU4"/>
    <mergeCell ref="AV4:AW4"/>
    <mergeCell ref="DN3:DQ3"/>
    <mergeCell ref="DR3:DU3"/>
    <mergeCell ref="DN4:DO4"/>
    <mergeCell ref="DJ4:DK4"/>
    <mergeCell ref="DL4:DM4"/>
    <mergeCell ref="CP3:CS3"/>
    <mergeCell ref="CP4:CQ4"/>
    <mergeCell ref="CR4:CS4"/>
    <mergeCell ref="CT3:CW3"/>
    <mergeCell ref="CX3:DA3"/>
    <mergeCell ref="DB3:DE3"/>
    <mergeCell ref="DF3:DI3"/>
    <mergeCell ref="DB4:DC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X4:AY4"/>
    <mergeCell ref="AZ4:BA4"/>
    <mergeCell ref="BB4:BC4"/>
    <mergeCell ref="BT4:BU4"/>
    <mergeCell ref="BV4:BW4"/>
    <mergeCell ref="BD4:BE4"/>
    <mergeCell ref="BF4:BG4"/>
    <mergeCell ref="BH4:BI4"/>
    <mergeCell ref="BX4:BY4"/>
    <mergeCell ref="BZ4:CA4"/>
    <mergeCell ref="CB4:CC4"/>
    <mergeCell ref="BJ4:BK4"/>
    <mergeCell ref="BL4:BM4"/>
    <mergeCell ref="BN4:BO4"/>
    <mergeCell ref="BP4:BQ4"/>
    <mergeCell ref="BR4:BS4"/>
    <mergeCell ref="CN4:CO4"/>
    <mergeCell ref="CT4:CU4"/>
    <mergeCell ref="CV4:CW4"/>
    <mergeCell ref="CX4:CY4"/>
    <mergeCell ref="CZ4:DA4"/>
    <mergeCell ref="CD4:CE4"/>
    <mergeCell ref="CF4:CG4"/>
    <mergeCell ref="CH4:CI4"/>
    <mergeCell ref="CJ4:CK4"/>
    <mergeCell ref="CL4:C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5" width="16" style="6" customWidth="1"/>
    <col min="66" max="67" width="16" style="35" customWidth="1"/>
    <col min="68" max="16384" width="9.140625" style="6"/>
  </cols>
  <sheetData>
    <row r="1" spans="1:67" ht="18.75" x14ac:dyDescent="0.3">
      <c r="A1" s="12" t="s">
        <v>280</v>
      </c>
    </row>
    <row r="2" spans="1:67" x14ac:dyDescent="0.25">
      <c r="A2" s="5" t="s">
        <v>34</v>
      </c>
    </row>
    <row r="3" spans="1:67" x14ac:dyDescent="0.25">
      <c r="A3" s="3" t="s">
        <v>0</v>
      </c>
      <c r="B3" s="103" t="s">
        <v>1</v>
      </c>
      <c r="C3" s="104"/>
      <c r="D3" s="103" t="s">
        <v>282</v>
      </c>
      <c r="E3" s="104"/>
      <c r="F3" s="103" t="s">
        <v>2</v>
      </c>
      <c r="G3" s="104"/>
      <c r="H3" s="103" t="s">
        <v>3</v>
      </c>
      <c r="I3" s="104"/>
      <c r="J3" s="103" t="s">
        <v>4</v>
      </c>
      <c r="K3" s="104"/>
      <c r="L3" s="103" t="s">
        <v>283</v>
      </c>
      <c r="M3" s="104"/>
      <c r="N3" s="103" t="s">
        <v>6</v>
      </c>
      <c r="O3" s="104"/>
      <c r="P3" s="103" t="s">
        <v>5</v>
      </c>
      <c r="Q3" s="104"/>
      <c r="R3" s="103" t="s">
        <v>7</v>
      </c>
      <c r="S3" s="104"/>
      <c r="T3" s="103" t="s">
        <v>284</v>
      </c>
      <c r="U3" s="104"/>
      <c r="V3" s="103" t="s">
        <v>8</v>
      </c>
      <c r="W3" s="104"/>
      <c r="X3" s="103" t="s">
        <v>9</v>
      </c>
      <c r="Y3" s="104"/>
      <c r="Z3" s="103" t="s">
        <v>10</v>
      </c>
      <c r="AA3" s="104"/>
      <c r="AB3" s="103" t="s">
        <v>304</v>
      </c>
      <c r="AC3" s="104"/>
      <c r="AD3" s="103" t="s">
        <v>11</v>
      </c>
      <c r="AE3" s="104"/>
      <c r="AF3" s="103" t="s">
        <v>12</v>
      </c>
      <c r="AG3" s="104"/>
      <c r="AH3" s="103" t="s">
        <v>285</v>
      </c>
      <c r="AI3" s="104"/>
      <c r="AJ3" s="103" t="s">
        <v>290</v>
      </c>
      <c r="AK3" s="104"/>
      <c r="AL3" s="103" t="s">
        <v>13</v>
      </c>
      <c r="AM3" s="104"/>
      <c r="AN3" s="103" t="s">
        <v>286</v>
      </c>
      <c r="AO3" s="104"/>
      <c r="AP3" s="103" t="s">
        <v>287</v>
      </c>
      <c r="AQ3" s="104"/>
      <c r="AR3" s="103" t="s">
        <v>291</v>
      </c>
      <c r="AS3" s="104"/>
      <c r="AT3" s="103" t="s">
        <v>305</v>
      </c>
      <c r="AU3" s="104"/>
      <c r="AV3" s="103" t="s">
        <v>14</v>
      </c>
      <c r="AW3" s="104"/>
      <c r="AX3" s="103" t="s">
        <v>15</v>
      </c>
      <c r="AY3" s="104"/>
      <c r="AZ3" s="103" t="s">
        <v>16</v>
      </c>
      <c r="BA3" s="104"/>
      <c r="BB3" s="103" t="s">
        <v>17</v>
      </c>
      <c r="BC3" s="104"/>
      <c r="BD3" s="103" t="s">
        <v>18</v>
      </c>
      <c r="BE3" s="104"/>
      <c r="BF3" s="103" t="s">
        <v>288</v>
      </c>
      <c r="BG3" s="104"/>
      <c r="BH3" s="103" t="s">
        <v>289</v>
      </c>
      <c r="BI3" s="104"/>
      <c r="BJ3" s="103" t="s">
        <v>19</v>
      </c>
      <c r="BK3" s="104"/>
      <c r="BL3" s="103" t="s">
        <v>20</v>
      </c>
      <c r="BM3" s="104"/>
      <c r="BN3" s="105" t="s">
        <v>21</v>
      </c>
      <c r="BO3" s="106"/>
    </row>
    <row r="4" spans="1:67" ht="30" x14ac:dyDescent="0.25">
      <c r="A4" s="3"/>
      <c r="B4" s="57" t="s">
        <v>293</v>
      </c>
      <c r="C4" s="58" t="s">
        <v>294</v>
      </c>
      <c r="D4" s="57" t="s">
        <v>293</v>
      </c>
      <c r="E4" s="58" t="s">
        <v>294</v>
      </c>
      <c r="F4" s="57" t="s">
        <v>293</v>
      </c>
      <c r="G4" s="58" t="s">
        <v>294</v>
      </c>
      <c r="H4" s="57" t="s">
        <v>293</v>
      </c>
      <c r="I4" s="58" t="s">
        <v>294</v>
      </c>
      <c r="J4" s="57" t="s">
        <v>293</v>
      </c>
      <c r="K4" s="58" t="s">
        <v>294</v>
      </c>
      <c r="L4" s="57" t="s">
        <v>293</v>
      </c>
      <c r="M4" s="58" t="s">
        <v>294</v>
      </c>
      <c r="N4" s="57" t="s">
        <v>293</v>
      </c>
      <c r="O4" s="58" t="s">
        <v>294</v>
      </c>
      <c r="P4" s="57" t="s">
        <v>293</v>
      </c>
      <c r="Q4" s="58" t="s">
        <v>294</v>
      </c>
      <c r="R4" s="57" t="s">
        <v>293</v>
      </c>
      <c r="S4" s="58" t="s">
        <v>294</v>
      </c>
      <c r="T4" s="57" t="s">
        <v>293</v>
      </c>
      <c r="U4" s="58" t="s">
        <v>294</v>
      </c>
      <c r="V4" s="57" t="s">
        <v>293</v>
      </c>
      <c r="W4" s="58" t="s">
        <v>294</v>
      </c>
      <c r="X4" s="57" t="s">
        <v>293</v>
      </c>
      <c r="Y4" s="58" t="s">
        <v>294</v>
      </c>
      <c r="Z4" s="57" t="s">
        <v>293</v>
      </c>
      <c r="AA4" s="58" t="s">
        <v>294</v>
      </c>
      <c r="AB4" s="57" t="s">
        <v>293</v>
      </c>
      <c r="AC4" s="58" t="s">
        <v>294</v>
      </c>
      <c r="AD4" s="57" t="s">
        <v>293</v>
      </c>
      <c r="AE4" s="58" t="s">
        <v>294</v>
      </c>
      <c r="AF4" s="57" t="s">
        <v>293</v>
      </c>
      <c r="AG4" s="58" t="s">
        <v>294</v>
      </c>
      <c r="AH4" s="57" t="s">
        <v>293</v>
      </c>
      <c r="AI4" s="58" t="s">
        <v>294</v>
      </c>
      <c r="AJ4" s="57" t="s">
        <v>293</v>
      </c>
      <c r="AK4" s="58" t="s">
        <v>294</v>
      </c>
      <c r="AL4" s="57" t="s">
        <v>293</v>
      </c>
      <c r="AM4" s="58" t="s">
        <v>294</v>
      </c>
      <c r="AN4" s="57" t="s">
        <v>293</v>
      </c>
      <c r="AO4" s="58" t="s">
        <v>294</v>
      </c>
      <c r="AP4" s="57" t="s">
        <v>293</v>
      </c>
      <c r="AQ4" s="58" t="s">
        <v>294</v>
      </c>
      <c r="AR4" s="57" t="s">
        <v>293</v>
      </c>
      <c r="AS4" s="58" t="s">
        <v>294</v>
      </c>
      <c r="AT4" s="57" t="s">
        <v>293</v>
      </c>
      <c r="AU4" s="58" t="s">
        <v>294</v>
      </c>
      <c r="AV4" s="57" t="s">
        <v>293</v>
      </c>
      <c r="AW4" s="58" t="s">
        <v>294</v>
      </c>
      <c r="AX4" s="57" t="s">
        <v>293</v>
      </c>
      <c r="AY4" s="58" t="s">
        <v>294</v>
      </c>
      <c r="AZ4" s="57" t="s">
        <v>293</v>
      </c>
      <c r="BA4" s="58" t="s">
        <v>294</v>
      </c>
      <c r="BB4" s="57" t="s">
        <v>293</v>
      </c>
      <c r="BC4" s="58" t="s">
        <v>294</v>
      </c>
      <c r="BD4" s="57" t="s">
        <v>293</v>
      </c>
      <c r="BE4" s="58" t="s">
        <v>294</v>
      </c>
      <c r="BF4" s="57" t="s">
        <v>293</v>
      </c>
      <c r="BG4" s="58" t="s">
        <v>294</v>
      </c>
      <c r="BH4" s="57" t="s">
        <v>293</v>
      </c>
      <c r="BI4" s="58" t="s">
        <v>294</v>
      </c>
      <c r="BJ4" s="57" t="s">
        <v>293</v>
      </c>
      <c r="BK4" s="58" t="s">
        <v>294</v>
      </c>
      <c r="BL4" s="57" t="s">
        <v>293</v>
      </c>
      <c r="BM4" s="58" t="s">
        <v>294</v>
      </c>
      <c r="BN4" s="57" t="s">
        <v>293</v>
      </c>
      <c r="BO4" s="58" t="s">
        <v>294</v>
      </c>
    </row>
    <row r="5" spans="1:67" x14ac:dyDescent="0.25">
      <c r="A5" s="3" t="s">
        <v>253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71"/>
      <c r="BO5" s="71"/>
    </row>
    <row r="6" spans="1:67" x14ac:dyDescent="0.25">
      <c r="A6" s="2" t="s">
        <v>254</v>
      </c>
      <c r="B6" s="9">
        <v>-34</v>
      </c>
      <c r="C6" s="9">
        <v>-36</v>
      </c>
      <c r="D6" s="9"/>
      <c r="E6" s="9"/>
      <c r="F6" s="9"/>
      <c r="G6" s="9"/>
      <c r="H6" s="84">
        <v>164353</v>
      </c>
      <c r="I6" s="84">
        <v>261829</v>
      </c>
      <c r="J6" s="84">
        <v>93017</v>
      </c>
      <c r="K6" s="84">
        <v>-105070</v>
      </c>
      <c r="L6" s="84">
        <v>198061</v>
      </c>
      <c r="M6" s="84">
        <v>573767</v>
      </c>
      <c r="N6" s="84"/>
      <c r="O6" s="9"/>
      <c r="P6" s="84">
        <v>1651</v>
      </c>
      <c r="Q6" s="84">
        <v>-5970</v>
      </c>
      <c r="R6" s="84">
        <v>130634</v>
      </c>
      <c r="S6" s="84">
        <v>207987</v>
      </c>
      <c r="T6" s="84">
        <v>-394999</v>
      </c>
      <c r="U6" s="84">
        <v>-408427</v>
      </c>
      <c r="V6" s="84">
        <v>-47083</v>
      </c>
      <c r="W6" s="84">
        <v>-265508</v>
      </c>
      <c r="X6" s="84">
        <v>473750</v>
      </c>
      <c r="Y6" s="84">
        <v>845640</v>
      </c>
      <c r="Z6" s="84">
        <v>464067</v>
      </c>
      <c r="AA6" s="84">
        <v>663487</v>
      </c>
      <c r="AB6" s="84">
        <v>-1824</v>
      </c>
      <c r="AC6" s="84">
        <v>4786</v>
      </c>
      <c r="AD6" s="84">
        <v>-5753</v>
      </c>
      <c r="AE6" s="84">
        <v>38868</v>
      </c>
      <c r="AF6" s="84">
        <v>-44534</v>
      </c>
      <c r="AG6" s="84">
        <v>-300506</v>
      </c>
      <c r="AH6" s="9"/>
      <c r="AI6" s="9"/>
      <c r="AJ6" s="9"/>
      <c r="AK6" s="9"/>
      <c r="AL6" s="84">
        <v>-354041.26514834166</v>
      </c>
      <c r="AM6" s="84">
        <v>304633.62566840183</v>
      </c>
      <c r="AN6" s="84">
        <v>-35242</v>
      </c>
      <c r="AO6" s="84">
        <v>-880261</v>
      </c>
      <c r="AP6" s="84">
        <v>80</v>
      </c>
      <c r="AQ6" s="84">
        <v>1157</v>
      </c>
      <c r="AR6" s="9">
        <v>140271</v>
      </c>
      <c r="AS6" s="9">
        <v>-47920</v>
      </c>
      <c r="AT6" s="9"/>
      <c r="AU6" s="9"/>
      <c r="AV6" s="84">
        <v>106089</v>
      </c>
      <c r="AW6" s="84">
        <v>214373</v>
      </c>
      <c r="AX6" s="84">
        <v>883685</v>
      </c>
      <c r="AY6" s="84">
        <v>2720522</v>
      </c>
      <c r="AZ6" s="84">
        <v>93553</v>
      </c>
      <c r="BA6" s="84">
        <v>94570</v>
      </c>
      <c r="BB6" s="9"/>
      <c r="BC6" s="9"/>
      <c r="BD6" s="84">
        <v>106185</v>
      </c>
      <c r="BE6" s="84">
        <v>191572</v>
      </c>
      <c r="BF6" s="84">
        <v>3735114</v>
      </c>
      <c r="BG6" s="84">
        <v>93693</v>
      </c>
      <c r="BH6" s="84">
        <v>47934</v>
      </c>
      <c r="BI6" s="84">
        <v>-1103683</v>
      </c>
      <c r="BJ6" s="84">
        <v>311824</v>
      </c>
      <c r="BK6" s="84">
        <v>531596</v>
      </c>
      <c r="BL6" s="84">
        <v>146326</v>
      </c>
      <c r="BM6" s="84">
        <v>122276</v>
      </c>
      <c r="BN6" s="72">
        <f>B6+D6+F6+H6+J6+L6+N6+P6+R6+T6+V6+X6+Z6+AB6+AD6+AF6+AH6+AJ6+AL6+AN6+AP6+AR6+AT6+AV6+AX6+AZ6+BB6+BD6+BF6+BH6+BJ6+BL6</f>
        <v>6213083.7348516583</v>
      </c>
      <c r="BO6" s="72">
        <f>C6+E6+G6+I6+K6+M6+O6+Q6+S6+U6+W6+Y6+AA6+AC6+AE6+AG6+AI6+AK6+AM6+AO6+AQ6+AS6+AU6+AW6+AY6+BA6+BC6+BE6+BG6+BI6+BK6+BM6</f>
        <v>3753375.6256684018</v>
      </c>
    </row>
    <row r="7" spans="1:67" x14ac:dyDescent="0.25">
      <c r="A7" s="2" t="s">
        <v>255</v>
      </c>
      <c r="B7" s="9"/>
      <c r="C7" s="9"/>
      <c r="D7" s="9"/>
      <c r="E7" s="9"/>
      <c r="F7" s="9"/>
      <c r="G7" s="9"/>
      <c r="H7" s="84">
        <v>140785</v>
      </c>
      <c r="I7" s="84">
        <v>116669</v>
      </c>
      <c r="J7" s="84">
        <v>-41182</v>
      </c>
      <c r="K7" s="84">
        <v>-63178</v>
      </c>
      <c r="L7" s="84">
        <v>-2751</v>
      </c>
      <c r="M7" s="84">
        <v>20426</v>
      </c>
      <c r="N7" s="84"/>
      <c r="O7" s="9"/>
      <c r="P7" s="84">
        <v>-1256</v>
      </c>
      <c r="Q7" s="60">
        <v>-3753</v>
      </c>
      <c r="R7" s="60">
        <v>-8570</v>
      </c>
      <c r="S7" s="60">
        <v>-64185</v>
      </c>
      <c r="T7" s="60">
        <v>1297</v>
      </c>
      <c r="U7" s="60">
        <v>-4223</v>
      </c>
      <c r="V7" s="60">
        <v>-23772</v>
      </c>
      <c r="W7" s="60">
        <v>-186842</v>
      </c>
      <c r="X7" s="60">
        <v>50380</v>
      </c>
      <c r="Y7" s="60">
        <v>-47553</v>
      </c>
      <c r="Z7" s="60">
        <v>-21592</v>
      </c>
      <c r="AA7" s="60">
        <v>92339</v>
      </c>
      <c r="AB7" s="60">
        <v>-11</v>
      </c>
      <c r="AC7" s="60">
        <v>-11</v>
      </c>
      <c r="AD7" s="60">
        <v>-16376</v>
      </c>
      <c r="AE7" s="60">
        <v>-27261</v>
      </c>
      <c r="AF7" s="60">
        <v>-20789</v>
      </c>
      <c r="AG7" s="60">
        <v>-39209</v>
      </c>
      <c r="AH7" s="60"/>
      <c r="AI7" s="9"/>
      <c r="AJ7" s="9"/>
      <c r="AK7" s="9"/>
      <c r="AL7" s="84">
        <v>141971.24742774246</v>
      </c>
      <c r="AM7" s="84">
        <v>-78750.674679633928</v>
      </c>
      <c r="AN7" s="84"/>
      <c r="AO7" s="84"/>
      <c r="AP7" s="84">
        <v>181</v>
      </c>
      <c r="AQ7" s="84">
        <v>38</v>
      </c>
      <c r="AR7" s="9">
        <v>-36689</v>
      </c>
      <c r="AS7" s="9">
        <v>13310</v>
      </c>
      <c r="AT7" s="9"/>
      <c r="AU7" s="9"/>
      <c r="AV7" s="84">
        <v>13536</v>
      </c>
      <c r="AW7" s="84">
        <v>49638</v>
      </c>
      <c r="AX7" s="84">
        <v>-52233</v>
      </c>
      <c r="AY7" s="84">
        <v>-97107</v>
      </c>
      <c r="AZ7" s="84">
        <v>1221</v>
      </c>
      <c r="BA7" s="84">
        <v>5150</v>
      </c>
      <c r="BB7" s="9"/>
      <c r="BC7" s="9"/>
      <c r="BD7" s="84">
        <v>8382</v>
      </c>
      <c r="BE7" s="84">
        <v>228466</v>
      </c>
      <c r="BF7" s="84">
        <v>40036</v>
      </c>
      <c r="BG7" s="84">
        <v>429529</v>
      </c>
      <c r="BH7" s="84">
        <v>-456016</v>
      </c>
      <c r="BI7" s="84">
        <v>-331483</v>
      </c>
      <c r="BJ7" s="84">
        <v>-32911</v>
      </c>
      <c r="BK7" s="84">
        <v>156244</v>
      </c>
      <c r="BL7" s="84">
        <v>5848</v>
      </c>
      <c r="BM7" s="84">
        <v>19980</v>
      </c>
      <c r="BN7" s="72">
        <f t="shared" ref="BN7:BN8" si="0">B7+D7+F7+H7+J7+L7+N7+P7+R7+T7+V7+X7+Z7+AB7+AD7+AF7+AH7+AJ7+AL7+AN7+AP7+AR7+AT7+AV7+AX7+AZ7+BB7+BD7+BF7+BH7+BJ7+BL7</f>
        <v>-310510.75257225754</v>
      </c>
      <c r="BO7" s="72">
        <f t="shared" ref="BO7:BO8" si="1">C7+E7+G7+I7+K7+M7+O7+Q7+S7+U7+W7+Y7+AA7+AC7+AE7+AG7+AI7+AK7+AM7+AO7+AQ7+AS7+AU7+AW7+AY7+BA7+BC7+BE7+BG7+BI7+BK7+BM7</f>
        <v>188233.32532036607</v>
      </c>
    </row>
    <row r="8" spans="1:67" x14ac:dyDescent="0.25">
      <c r="A8" s="2" t="s">
        <v>256</v>
      </c>
      <c r="B8" s="84">
        <v>-706978</v>
      </c>
      <c r="C8" s="84">
        <v>-1116757</v>
      </c>
      <c r="D8" s="9">
        <v>-543078</v>
      </c>
      <c r="E8" s="9">
        <v>-1848632</v>
      </c>
      <c r="F8" s="84">
        <v>3685265</v>
      </c>
      <c r="G8" s="84">
        <v>6087432</v>
      </c>
      <c r="H8" s="84">
        <v>3187078</v>
      </c>
      <c r="I8" s="84">
        <v>11242960</v>
      </c>
      <c r="J8" s="84">
        <v>-42311</v>
      </c>
      <c r="K8" s="84">
        <v>1205841</v>
      </c>
      <c r="L8" s="84">
        <v>592231</v>
      </c>
      <c r="M8" s="84">
        <v>4131208</v>
      </c>
      <c r="N8" s="84">
        <v>3058339.34</v>
      </c>
      <c r="O8" s="84">
        <v>3058339.34</v>
      </c>
      <c r="P8" s="84">
        <v>-230442</v>
      </c>
      <c r="Q8" s="84">
        <v>-691425</v>
      </c>
      <c r="R8" s="84">
        <v>188171</v>
      </c>
      <c r="S8" s="84">
        <v>889327</v>
      </c>
      <c r="T8" s="84">
        <v>-148472</v>
      </c>
      <c r="U8" s="84">
        <v>88812</v>
      </c>
      <c r="V8" s="84">
        <v>1444810</v>
      </c>
      <c r="W8" s="84">
        <v>6681123</v>
      </c>
      <c r="X8" s="84">
        <v>2596718</v>
      </c>
      <c r="Y8" s="84">
        <v>10937501</v>
      </c>
      <c r="Z8" s="84">
        <v>113727</v>
      </c>
      <c r="AA8" s="84">
        <v>2505043</v>
      </c>
      <c r="AB8" s="84">
        <v>-66046</v>
      </c>
      <c r="AC8" s="84">
        <v>43290</v>
      </c>
      <c r="AD8" s="84">
        <v>-789669</v>
      </c>
      <c r="AE8" s="84">
        <v>16773</v>
      </c>
      <c r="AF8" s="84">
        <v>68208</v>
      </c>
      <c r="AG8" s="84">
        <v>700722</v>
      </c>
      <c r="AH8" s="84">
        <v>-447393</v>
      </c>
      <c r="AI8" s="84">
        <v>-1093287</v>
      </c>
      <c r="AJ8" s="84">
        <v>-18612</v>
      </c>
      <c r="AK8" s="84">
        <v>546954</v>
      </c>
      <c r="AL8" s="84">
        <v>-3030778.2479793727</v>
      </c>
      <c r="AM8" s="84">
        <v>3380553.9442047626</v>
      </c>
      <c r="AN8" s="84">
        <v>-83737</v>
      </c>
      <c r="AO8" s="84">
        <v>-403591</v>
      </c>
      <c r="AP8" s="84">
        <v>-136353</v>
      </c>
      <c r="AQ8" s="84">
        <v>-271385</v>
      </c>
      <c r="AR8" s="9">
        <v>1148290</v>
      </c>
      <c r="AS8" s="9">
        <v>3437243</v>
      </c>
      <c r="AT8" s="84">
        <v>-118595</v>
      </c>
      <c r="AU8" s="84">
        <v>-79082</v>
      </c>
      <c r="AV8" s="84">
        <v>-292466</v>
      </c>
      <c r="AW8" s="84">
        <v>1667896</v>
      </c>
      <c r="AX8" s="84">
        <v>-41190</v>
      </c>
      <c r="AY8" s="84">
        <v>1377119</v>
      </c>
      <c r="AZ8" s="84">
        <v>905372</v>
      </c>
      <c r="BA8" s="84">
        <v>4642564</v>
      </c>
      <c r="BB8" s="84">
        <v>-3937550</v>
      </c>
      <c r="BC8" s="84">
        <v>-2736261</v>
      </c>
      <c r="BD8" s="84">
        <v>191033</v>
      </c>
      <c r="BE8" s="84">
        <v>3174673</v>
      </c>
      <c r="BF8" s="84">
        <v>-1453914</v>
      </c>
      <c r="BG8" s="84">
        <v>7641610</v>
      </c>
      <c r="BH8" s="84">
        <v>-7603792</v>
      </c>
      <c r="BI8" s="84">
        <v>-6703987</v>
      </c>
      <c r="BJ8" s="84">
        <v>-7475034</v>
      </c>
      <c r="BK8" s="84">
        <v>-6827013</v>
      </c>
      <c r="BL8" s="84">
        <v>475993</v>
      </c>
      <c r="BM8" s="84">
        <v>1316176</v>
      </c>
      <c r="BN8" s="72">
        <f t="shared" si="0"/>
        <v>-9511174.9079793729</v>
      </c>
      <c r="BO8" s="72">
        <f t="shared" si="1"/>
        <v>53001740.284204766</v>
      </c>
    </row>
    <row r="9" spans="1:67" x14ac:dyDescent="0.25">
      <c r="A9" s="3" t="s">
        <v>257</v>
      </c>
      <c r="B9" s="9"/>
      <c r="C9" s="9"/>
      <c r="D9" s="9"/>
      <c r="E9" s="9"/>
      <c r="F9" s="9"/>
      <c r="G9" s="9"/>
      <c r="H9" s="9"/>
      <c r="I9" s="9"/>
      <c r="J9" s="9"/>
      <c r="K9" s="9"/>
      <c r="L9" s="84"/>
      <c r="M9" s="8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72"/>
      <c r="BO9" s="72"/>
    </row>
    <row r="10" spans="1:67" x14ac:dyDescent="0.25">
      <c r="A10" s="2" t="s">
        <v>258</v>
      </c>
      <c r="B10" s="84">
        <v>17129</v>
      </c>
      <c r="C10" s="84">
        <v>66749</v>
      </c>
      <c r="D10" s="84">
        <v>55869</v>
      </c>
      <c r="E10" s="84">
        <v>154252</v>
      </c>
      <c r="F10" s="84">
        <v>410364</v>
      </c>
      <c r="G10" s="84">
        <v>1073501</v>
      </c>
      <c r="H10" s="84">
        <v>818250</v>
      </c>
      <c r="I10" s="84">
        <v>2174937</v>
      </c>
      <c r="J10" s="84">
        <v>89831</v>
      </c>
      <c r="K10" s="84">
        <v>390905</v>
      </c>
      <c r="L10" s="84">
        <v>180429</v>
      </c>
      <c r="M10" s="84">
        <v>512674</v>
      </c>
      <c r="N10" s="84">
        <v>942614.02</v>
      </c>
      <c r="O10" s="84">
        <v>2791303.63</v>
      </c>
      <c r="P10" s="84">
        <v>11632</v>
      </c>
      <c r="Q10" s="84">
        <v>42344</v>
      </c>
      <c r="R10" s="84">
        <v>180595</v>
      </c>
      <c r="S10" s="84">
        <v>512612</v>
      </c>
      <c r="T10" s="84">
        <v>131713</v>
      </c>
      <c r="U10" s="84">
        <v>378911</v>
      </c>
      <c r="V10" s="84">
        <v>464836</v>
      </c>
      <c r="W10" s="84">
        <v>1313795</v>
      </c>
      <c r="X10" s="84">
        <v>1131252</v>
      </c>
      <c r="Y10" s="84">
        <v>3250304</v>
      </c>
      <c r="Z10" s="84">
        <v>428723</v>
      </c>
      <c r="AA10" s="84">
        <v>1345378</v>
      </c>
      <c r="AB10" s="84">
        <v>30129</v>
      </c>
      <c r="AC10" s="84">
        <v>86874</v>
      </c>
      <c r="AD10" s="84">
        <v>128478</v>
      </c>
      <c r="AE10" s="84">
        <v>428744</v>
      </c>
      <c r="AF10" s="84">
        <v>52879</v>
      </c>
      <c r="AG10" s="84">
        <v>174407</v>
      </c>
      <c r="AH10" s="84">
        <v>54677</v>
      </c>
      <c r="AI10" s="84">
        <v>125341</v>
      </c>
      <c r="AJ10" s="84">
        <v>66639</v>
      </c>
      <c r="AK10" s="84">
        <v>208970</v>
      </c>
      <c r="AL10" s="9"/>
      <c r="AM10" s="9"/>
      <c r="AN10" s="84">
        <v>37477</v>
      </c>
      <c r="AO10" s="84">
        <v>122146</v>
      </c>
      <c r="AP10" s="84">
        <v>8898</v>
      </c>
      <c r="AQ10" s="84">
        <v>67967</v>
      </c>
      <c r="AR10" s="9">
        <v>182726</v>
      </c>
      <c r="AS10" s="9">
        <v>940099</v>
      </c>
      <c r="AT10" s="84">
        <v>157429</v>
      </c>
      <c r="AU10" s="84">
        <v>416982</v>
      </c>
      <c r="AV10" s="84">
        <v>201521</v>
      </c>
      <c r="AW10" s="84">
        <v>605756</v>
      </c>
      <c r="AX10" s="84">
        <v>358002</v>
      </c>
      <c r="AY10" s="84">
        <v>964596</v>
      </c>
      <c r="AZ10" s="84">
        <v>253624</v>
      </c>
      <c r="BA10" s="84">
        <v>775132</v>
      </c>
      <c r="BB10" s="84">
        <v>636392</v>
      </c>
      <c r="BC10" s="84">
        <v>1343172</v>
      </c>
      <c r="BD10" s="84">
        <v>472915</v>
      </c>
      <c r="BE10" s="84">
        <v>1404721</v>
      </c>
      <c r="BF10" s="84">
        <v>2659370</v>
      </c>
      <c r="BG10" s="84">
        <v>8298778</v>
      </c>
      <c r="BH10" s="84">
        <v>295162</v>
      </c>
      <c r="BI10" s="84">
        <v>750001</v>
      </c>
      <c r="BJ10" s="84">
        <v>952467</v>
      </c>
      <c r="BK10" s="84">
        <v>1831698</v>
      </c>
      <c r="BL10" s="84">
        <v>-124902</v>
      </c>
      <c r="BM10" s="84">
        <v>197604</v>
      </c>
      <c r="BN10" s="72">
        <f t="shared" ref="BN10:BN16" si="2">B10+D10+F10+H10+J10+L10+N10+P10+R10+T10+V10+X10+Z10+AB10+AD10+AF10+AH10+AJ10+AL10+AN10+AP10+AR10+AT10+AV10+AX10+AZ10+BB10+BD10+BF10+BH10+BJ10+BL10</f>
        <v>11287120.02</v>
      </c>
      <c r="BO10" s="72">
        <f t="shared" ref="BO10:BO16" si="3">C10+E10+G10+I10+K10+M10+O10+Q10+S10+U10+W10+Y10+AA10+AC10+AE10+AG10+AI10+AK10+AM10+AO10+AQ10+AS10+AU10+AW10+AY10+BA10+BC10+BE10+BG10+BI10+BK10+BM10</f>
        <v>32750653.629999999</v>
      </c>
    </row>
    <row r="11" spans="1:67" x14ac:dyDescent="0.25">
      <c r="A11" s="2" t="s">
        <v>259</v>
      </c>
      <c r="B11" s="84">
        <v>2421</v>
      </c>
      <c r="C11" s="84">
        <v>35393</v>
      </c>
      <c r="D11" s="84">
        <v>5071</v>
      </c>
      <c r="E11" s="84">
        <v>13652</v>
      </c>
      <c r="F11" s="84">
        <v>3014</v>
      </c>
      <c r="G11" s="84">
        <v>34727</v>
      </c>
      <c r="H11" s="84">
        <v>343139</v>
      </c>
      <c r="I11" s="84">
        <v>834521</v>
      </c>
      <c r="J11" s="84">
        <v>18977</v>
      </c>
      <c r="K11" s="84">
        <v>64393</v>
      </c>
      <c r="L11" s="84">
        <v>54399</v>
      </c>
      <c r="M11" s="84">
        <v>129580</v>
      </c>
      <c r="N11" s="84">
        <v>397659.28</v>
      </c>
      <c r="O11" s="84">
        <v>531827.35</v>
      </c>
      <c r="P11" s="84">
        <v>438</v>
      </c>
      <c r="Q11" s="84">
        <v>24007</v>
      </c>
      <c r="R11" s="84">
        <v>100015</v>
      </c>
      <c r="S11" s="84">
        <v>129318</v>
      </c>
      <c r="T11" s="84">
        <v>2087</v>
      </c>
      <c r="U11" s="84">
        <v>10811</v>
      </c>
      <c r="V11" s="84">
        <v>79607</v>
      </c>
      <c r="W11" s="84">
        <v>167519</v>
      </c>
      <c r="X11" s="84">
        <v>275505</v>
      </c>
      <c r="Y11" s="84">
        <v>973997</v>
      </c>
      <c r="Z11" s="84">
        <v>674</v>
      </c>
      <c r="AA11" s="84">
        <v>123423</v>
      </c>
      <c r="AB11" s="84">
        <v>9721</v>
      </c>
      <c r="AC11" s="84">
        <v>35691</v>
      </c>
      <c r="AD11" s="84">
        <v>4205</v>
      </c>
      <c r="AE11" s="84">
        <v>21329</v>
      </c>
      <c r="AF11" s="84">
        <v>4213</v>
      </c>
      <c r="AG11" s="84">
        <v>45341</v>
      </c>
      <c r="AH11" s="84">
        <v>5483</v>
      </c>
      <c r="AI11" s="84">
        <v>30515</v>
      </c>
      <c r="AJ11" s="84">
        <v>9483</v>
      </c>
      <c r="AK11" s="84">
        <v>18864</v>
      </c>
      <c r="AL11" s="9"/>
      <c r="AM11" s="9"/>
      <c r="AN11" s="9"/>
      <c r="AO11" s="84">
        <v>28475</v>
      </c>
      <c r="AP11" s="84">
        <v>-1366</v>
      </c>
      <c r="AQ11" s="84">
        <v>4983</v>
      </c>
      <c r="AR11" s="9">
        <v>37883</v>
      </c>
      <c r="AS11" s="9">
        <v>318626</v>
      </c>
      <c r="AT11" s="84">
        <v>1781</v>
      </c>
      <c r="AU11" s="84">
        <v>24456</v>
      </c>
      <c r="AV11" s="84">
        <v>47952</v>
      </c>
      <c r="AW11" s="84">
        <v>163299</v>
      </c>
      <c r="AX11" s="84">
        <v>236203</v>
      </c>
      <c r="AY11" s="84">
        <v>475978</v>
      </c>
      <c r="AZ11" s="84">
        <v>5114</v>
      </c>
      <c r="BA11" s="84">
        <v>92979</v>
      </c>
      <c r="BB11" s="84">
        <v>4974</v>
      </c>
      <c r="BC11" s="84">
        <v>6523</v>
      </c>
      <c r="BD11" s="84">
        <v>107205</v>
      </c>
      <c r="BE11" s="84">
        <v>355830</v>
      </c>
      <c r="BF11" s="84">
        <v>3434332</v>
      </c>
      <c r="BG11" s="84">
        <v>4767464</v>
      </c>
      <c r="BH11" s="84">
        <v>187812</v>
      </c>
      <c r="BI11" s="84">
        <v>315338</v>
      </c>
      <c r="BJ11" s="84">
        <v>305459</v>
      </c>
      <c r="BK11" s="84">
        <v>632052</v>
      </c>
      <c r="BL11" s="84">
        <v>-6585</v>
      </c>
      <c r="BM11" s="84">
        <v>10513</v>
      </c>
      <c r="BN11" s="72">
        <f t="shared" si="2"/>
        <v>5676875.2800000003</v>
      </c>
      <c r="BO11" s="72">
        <f t="shared" si="3"/>
        <v>10421424.35</v>
      </c>
    </row>
    <row r="12" spans="1:67" x14ac:dyDescent="0.25">
      <c r="A12" s="2" t="s">
        <v>260</v>
      </c>
      <c r="B12" s="84">
        <v>1594</v>
      </c>
      <c r="C12" s="84">
        <v>-15182</v>
      </c>
      <c r="D12" s="84"/>
      <c r="E12" s="84"/>
      <c r="F12" s="9"/>
      <c r="G12" s="9"/>
      <c r="H12" s="84">
        <v>-22082</v>
      </c>
      <c r="I12" s="84">
        <v>-215146</v>
      </c>
      <c r="J12" s="9"/>
      <c r="K12" s="9"/>
      <c r="L12" s="9"/>
      <c r="M12" s="9"/>
      <c r="N12" s="84">
        <v>-196294.03</v>
      </c>
      <c r="O12" s="84">
        <v>-196294.04</v>
      </c>
      <c r="P12" s="84">
        <v>-69926</v>
      </c>
      <c r="Q12" s="84">
        <v>-103984</v>
      </c>
      <c r="R12" s="9"/>
      <c r="S12" s="9"/>
      <c r="T12" s="9"/>
      <c r="U12" s="9"/>
      <c r="V12" s="18"/>
      <c r="W12" s="9"/>
      <c r="X12" s="84">
        <v>-7788</v>
      </c>
      <c r="Y12" s="84">
        <v>-444341</v>
      </c>
      <c r="Z12" s="9"/>
      <c r="AA12" s="9"/>
      <c r="AB12" s="84">
        <v>-19</v>
      </c>
      <c r="AC12" s="84">
        <v>-224</v>
      </c>
      <c r="AD12" s="9"/>
      <c r="AE12" s="9"/>
      <c r="AF12" s="84">
        <v>-69</v>
      </c>
      <c r="AG12" s="84">
        <v>-384</v>
      </c>
      <c r="AH12" s="84">
        <v>-36125</v>
      </c>
      <c r="AI12" s="84">
        <v>-36125</v>
      </c>
      <c r="AJ12" s="9"/>
      <c r="AK12" s="9"/>
      <c r="AL12" s="9"/>
      <c r="AM12" s="9"/>
      <c r="AN12" s="9"/>
      <c r="AO12" s="9"/>
      <c r="AP12" s="9"/>
      <c r="AQ12" s="9"/>
      <c r="AR12" s="9">
        <v>-34272</v>
      </c>
      <c r="AS12" s="9">
        <v>-39135</v>
      </c>
      <c r="AT12" s="9"/>
      <c r="AU12" s="9"/>
      <c r="AV12" s="84">
        <v>-28603</v>
      </c>
      <c r="AW12" s="84">
        <v>-85457</v>
      </c>
      <c r="AX12" s="84">
        <v>-25109</v>
      </c>
      <c r="AY12" s="84">
        <v>-34497</v>
      </c>
      <c r="AZ12" s="9"/>
      <c r="BA12" s="9"/>
      <c r="BB12" s="9"/>
      <c r="BC12" s="9"/>
      <c r="BD12" s="84">
        <v>-3393</v>
      </c>
      <c r="BE12" s="84">
        <v>-28322</v>
      </c>
      <c r="BF12" s="9"/>
      <c r="BG12" s="9"/>
      <c r="BH12" s="9"/>
      <c r="BI12" s="9"/>
      <c r="BJ12" s="9"/>
      <c r="BK12" s="9"/>
      <c r="BL12" s="84">
        <v>-15368</v>
      </c>
      <c r="BM12" s="84">
        <v>-16936</v>
      </c>
      <c r="BN12" s="72">
        <f t="shared" si="2"/>
        <v>-437454.03</v>
      </c>
      <c r="BO12" s="72">
        <f t="shared" si="3"/>
        <v>-1216027.04</v>
      </c>
    </row>
    <row r="13" spans="1:67" ht="15" customHeight="1" x14ac:dyDescent="0.25">
      <c r="A13" s="2" t="s">
        <v>261</v>
      </c>
      <c r="B13" s="9"/>
      <c r="C13" s="9"/>
      <c r="D13" s="84">
        <v>-5306</v>
      </c>
      <c r="E13" s="84">
        <v>-14000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72">
        <f t="shared" si="2"/>
        <v>-5306</v>
      </c>
      <c r="BO13" s="72">
        <f t="shared" si="3"/>
        <v>-14000</v>
      </c>
    </row>
    <row r="14" spans="1:67" x14ac:dyDescent="0.25">
      <c r="A14" s="9" t="s">
        <v>262</v>
      </c>
      <c r="B14" s="9"/>
      <c r="C14" s="9"/>
      <c r="D14" s="9"/>
      <c r="E14" s="9"/>
      <c r="F14" s="84">
        <v>2524</v>
      </c>
      <c r="G14" s="84">
        <v>14114</v>
      </c>
      <c r="H14" s="84">
        <v>-125200</v>
      </c>
      <c r="I14" s="84">
        <v>-326541</v>
      </c>
      <c r="J14" s="84">
        <v>-4555</v>
      </c>
      <c r="K14" s="84">
        <v>-11472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84">
        <v>-2369</v>
      </c>
      <c r="AK14" s="84">
        <v>-9491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84">
        <v>-5769</v>
      </c>
      <c r="BA14" s="84">
        <v>-18367</v>
      </c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84">
        <v>8412</v>
      </c>
      <c r="BM14" s="84">
        <v>-14897</v>
      </c>
      <c r="BN14" s="72">
        <f t="shared" si="2"/>
        <v>-126957</v>
      </c>
      <c r="BO14" s="72">
        <f t="shared" si="3"/>
        <v>-366654</v>
      </c>
    </row>
    <row r="15" spans="1:67" x14ac:dyDescent="0.25">
      <c r="A15" s="3" t="s">
        <v>263</v>
      </c>
      <c r="B15" s="9">
        <f>B16-B14-B13-B12-B11-B10-B8-B7-B6</f>
        <v>0</v>
      </c>
      <c r="C15" s="9">
        <f t="shared" ref="C15:AG15" si="4">C16-C14-C13-C12-C11-C10-C8-C7-C6</f>
        <v>25000</v>
      </c>
      <c r="D15" s="9">
        <f t="shared" si="4"/>
        <v>-1</v>
      </c>
      <c r="E15" s="9">
        <f t="shared" si="4"/>
        <v>0</v>
      </c>
      <c r="F15" s="9">
        <f t="shared" si="4"/>
        <v>1985</v>
      </c>
      <c r="G15" s="9">
        <f t="shared" si="4"/>
        <v>6311</v>
      </c>
      <c r="H15" s="9">
        <f t="shared" si="4"/>
        <v>-1</v>
      </c>
      <c r="I15" s="9">
        <f t="shared" si="4"/>
        <v>3636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23480.710000000428</v>
      </c>
      <c r="O15" s="9">
        <f t="shared" si="4"/>
        <v>-1359590.419999999</v>
      </c>
      <c r="P15" s="9">
        <f t="shared" si="4"/>
        <v>0</v>
      </c>
      <c r="Q15" s="9">
        <f t="shared" si="4"/>
        <v>0</v>
      </c>
      <c r="R15" s="9">
        <f t="shared" si="4"/>
        <v>-29567</v>
      </c>
      <c r="S15" s="9">
        <f t="shared" si="4"/>
        <v>-44469</v>
      </c>
      <c r="T15" s="9">
        <f t="shared" si="4"/>
        <v>36</v>
      </c>
      <c r="U15" s="9">
        <f t="shared" si="4"/>
        <v>180</v>
      </c>
      <c r="V15" s="9">
        <f t="shared" si="4"/>
        <v>1</v>
      </c>
      <c r="W15" s="9">
        <f t="shared" si="4"/>
        <v>0</v>
      </c>
      <c r="X15" s="9">
        <f t="shared" si="4"/>
        <v>635</v>
      </c>
      <c r="Y15" s="9">
        <f t="shared" si="4"/>
        <v>1738</v>
      </c>
      <c r="Z15" s="9">
        <f t="shared" si="4"/>
        <v>2697</v>
      </c>
      <c r="AA15" s="9">
        <f t="shared" si="4"/>
        <v>39124</v>
      </c>
      <c r="AB15" s="9">
        <f t="shared" si="4"/>
        <v>181</v>
      </c>
      <c r="AC15" s="9">
        <f t="shared" si="4"/>
        <v>307</v>
      </c>
      <c r="AD15" s="9">
        <f t="shared" si="4"/>
        <v>0</v>
      </c>
      <c r="AE15" s="9">
        <f t="shared" si="4"/>
        <v>2</v>
      </c>
      <c r="AF15" s="9">
        <f t="shared" si="4"/>
        <v>0</v>
      </c>
      <c r="AG15" s="9">
        <f t="shared" si="4"/>
        <v>0</v>
      </c>
      <c r="AH15" s="9">
        <f t="shared" ref="AH15:BM15" si="5">AH16-AH14-AH13-AH12-AH11-AH10-AH8-AH7-AH6</f>
        <v>1</v>
      </c>
      <c r="AI15" s="9">
        <f t="shared" si="5"/>
        <v>0</v>
      </c>
      <c r="AJ15" s="9">
        <f t="shared" si="5"/>
        <v>-947</v>
      </c>
      <c r="AK15" s="9">
        <f t="shared" si="5"/>
        <v>284</v>
      </c>
      <c r="AL15" s="9">
        <f t="shared" si="5"/>
        <v>-8708</v>
      </c>
      <c r="AM15" s="9">
        <f t="shared" si="5"/>
        <v>276107.99999999977</v>
      </c>
      <c r="AN15" s="9">
        <f t="shared" si="5"/>
        <v>0</v>
      </c>
      <c r="AO15" s="9">
        <f t="shared" si="5"/>
        <v>43</v>
      </c>
      <c r="AP15" s="9">
        <f t="shared" si="5"/>
        <v>21</v>
      </c>
      <c r="AQ15" s="9">
        <f t="shared" si="5"/>
        <v>24</v>
      </c>
      <c r="AR15" s="9">
        <f t="shared" si="5"/>
        <v>217501</v>
      </c>
      <c r="AS15" s="9">
        <f t="shared" si="5"/>
        <v>231352</v>
      </c>
      <c r="AT15" s="9">
        <f t="shared" si="5"/>
        <v>0</v>
      </c>
      <c r="AU15" s="9">
        <f t="shared" si="5"/>
        <v>0</v>
      </c>
      <c r="AV15" s="9">
        <f t="shared" si="5"/>
        <v>102</v>
      </c>
      <c r="AW15" s="9">
        <f t="shared" si="5"/>
        <v>361</v>
      </c>
      <c r="AX15" s="9">
        <f t="shared" si="5"/>
        <v>23752</v>
      </c>
      <c r="AY15" s="9">
        <f t="shared" si="5"/>
        <v>26180</v>
      </c>
      <c r="AZ15" s="9">
        <f t="shared" si="5"/>
        <v>0</v>
      </c>
      <c r="BA15" s="9">
        <f t="shared" si="5"/>
        <v>0</v>
      </c>
      <c r="BB15" s="9">
        <f t="shared" si="5"/>
        <v>-16797</v>
      </c>
      <c r="BC15" s="9">
        <f t="shared" si="5"/>
        <v>2220</v>
      </c>
      <c r="BD15" s="9">
        <f t="shared" si="5"/>
        <v>3881</v>
      </c>
      <c r="BE15" s="9">
        <f t="shared" si="5"/>
        <v>39857</v>
      </c>
      <c r="BF15" s="9">
        <f t="shared" si="5"/>
        <v>10864</v>
      </c>
      <c r="BG15" s="9">
        <f t="shared" si="5"/>
        <v>177187</v>
      </c>
      <c r="BH15" s="9">
        <f t="shared" si="5"/>
        <v>6436</v>
      </c>
      <c r="BI15" s="9">
        <f t="shared" si="5"/>
        <v>220841</v>
      </c>
      <c r="BJ15" s="9">
        <f t="shared" si="5"/>
        <v>3541</v>
      </c>
      <c r="BK15" s="9">
        <f t="shared" si="5"/>
        <v>-21223</v>
      </c>
      <c r="BL15" s="9">
        <f t="shared" si="5"/>
        <v>193</v>
      </c>
      <c r="BM15" s="9">
        <f t="shared" si="5"/>
        <v>193</v>
      </c>
      <c r="BN15" s="72">
        <f t="shared" si="2"/>
        <v>239286.71000000043</v>
      </c>
      <c r="BO15" s="72">
        <f t="shared" si="3"/>
        <v>-374334.41999999923</v>
      </c>
    </row>
    <row r="16" spans="1:67" s="7" customFormat="1" x14ac:dyDescent="0.25">
      <c r="A16" s="3" t="s">
        <v>26</v>
      </c>
      <c r="B16" s="10">
        <v>-685868</v>
      </c>
      <c r="C16" s="10">
        <v>-1004833</v>
      </c>
      <c r="D16" s="10">
        <v>-487445</v>
      </c>
      <c r="E16" s="10">
        <v>-1694728</v>
      </c>
      <c r="F16" s="10">
        <v>4103152</v>
      </c>
      <c r="G16" s="10">
        <v>7216085</v>
      </c>
      <c r="H16" s="10">
        <v>4506322</v>
      </c>
      <c r="I16" s="10">
        <v>14092865</v>
      </c>
      <c r="J16" s="10">
        <v>113777</v>
      </c>
      <c r="K16" s="10">
        <v>1481419</v>
      </c>
      <c r="L16" s="10">
        <v>1022369</v>
      </c>
      <c r="M16" s="10">
        <v>5367655</v>
      </c>
      <c r="N16" s="10">
        <v>4225799.32</v>
      </c>
      <c r="O16" s="10">
        <v>4825585.8600000003</v>
      </c>
      <c r="P16" s="10">
        <v>-287903</v>
      </c>
      <c r="Q16" s="10">
        <v>-738781</v>
      </c>
      <c r="R16" s="10">
        <v>561278</v>
      </c>
      <c r="S16" s="10">
        <v>1630590</v>
      </c>
      <c r="T16" s="10">
        <v>-408338</v>
      </c>
      <c r="U16" s="10">
        <v>66064</v>
      </c>
      <c r="V16" s="10">
        <v>1918399</v>
      </c>
      <c r="W16" s="10">
        <v>7710087</v>
      </c>
      <c r="X16" s="10">
        <v>4520452</v>
      </c>
      <c r="Y16" s="10">
        <v>15517286</v>
      </c>
      <c r="Z16" s="10">
        <v>988296</v>
      </c>
      <c r="AA16" s="10">
        <v>4768794</v>
      </c>
      <c r="AB16" s="10">
        <v>-27869</v>
      </c>
      <c r="AC16" s="10">
        <v>170713</v>
      </c>
      <c r="AD16" s="10">
        <v>-679115</v>
      </c>
      <c r="AE16" s="10">
        <v>478455</v>
      </c>
      <c r="AF16" s="10">
        <v>59908</v>
      </c>
      <c r="AG16" s="10">
        <v>580371</v>
      </c>
      <c r="AH16" s="10">
        <v>-423357</v>
      </c>
      <c r="AI16" s="10">
        <v>-973556</v>
      </c>
      <c r="AJ16" s="10">
        <v>54194</v>
      </c>
      <c r="AK16" s="10">
        <v>765581</v>
      </c>
      <c r="AL16" s="10">
        <v>-3251556.2656999719</v>
      </c>
      <c r="AM16" s="10">
        <v>3882544.8951935302</v>
      </c>
      <c r="AN16" s="10">
        <v>-81502</v>
      </c>
      <c r="AO16" s="10">
        <v>-1133188</v>
      </c>
      <c r="AP16" s="10">
        <v>-128539</v>
      </c>
      <c r="AQ16" s="10">
        <v>-197216</v>
      </c>
      <c r="AR16" s="10">
        <v>1655710</v>
      </c>
      <c r="AS16" s="10">
        <v>4853575</v>
      </c>
      <c r="AT16" s="10">
        <v>40615</v>
      </c>
      <c r="AU16" s="10">
        <v>362356</v>
      </c>
      <c r="AV16" s="10">
        <v>48131</v>
      </c>
      <c r="AW16" s="10">
        <v>2615866</v>
      </c>
      <c r="AX16" s="10">
        <v>1383110</v>
      </c>
      <c r="AY16" s="10">
        <v>5432791</v>
      </c>
      <c r="AZ16" s="10">
        <v>1253115</v>
      </c>
      <c r="BA16" s="10">
        <v>5592028</v>
      </c>
      <c r="BB16" s="10">
        <v>-3312981</v>
      </c>
      <c r="BC16" s="10">
        <v>-1384346</v>
      </c>
      <c r="BD16" s="10">
        <v>886208</v>
      </c>
      <c r="BE16" s="10">
        <v>5366797</v>
      </c>
      <c r="BF16" s="10">
        <v>8425802</v>
      </c>
      <c r="BG16" s="10">
        <v>21408261</v>
      </c>
      <c r="BH16" s="10">
        <v>-7522464</v>
      </c>
      <c r="BI16" s="10">
        <v>-6852973</v>
      </c>
      <c r="BJ16" s="10">
        <v>-5934654</v>
      </c>
      <c r="BK16" s="10">
        <v>-3696646</v>
      </c>
      <c r="BL16" s="10">
        <v>489917</v>
      </c>
      <c r="BM16" s="10">
        <v>1634909</v>
      </c>
      <c r="BN16" s="68">
        <f t="shared" si="2"/>
        <v>13024963.054300029</v>
      </c>
      <c r="BO16" s="68">
        <f t="shared" si="3"/>
        <v>98144411.755193532</v>
      </c>
    </row>
    <row r="17" spans="1:67" x14ac:dyDescent="0.25">
      <c r="A17" s="3" t="s">
        <v>264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71"/>
      <c r="BO17" s="71"/>
    </row>
    <row r="18" spans="1:67" x14ac:dyDescent="0.25">
      <c r="A18" s="2" t="s">
        <v>265</v>
      </c>
      <c r="B18" s="9"/>
      <c r="C18" s="9"/>
      <c r="D18" s="9"/>
      <c r="E18" s="84">
        <v>20000</v>
      </c>
      <c r="F18" s="9"/>
      <c r="G18" s="9"/>
      <c r="H18" s="9"/>
      <c r="I18" s="84">
        <v>-340409</v>
      </c>
      <c r="J18" s="84">
        <v>67500</v>
      </c>
      <c r="K18" s="84">
        <v>247500</v>
      </c>
      <c r="L18" s="84">
        <v>-18930</v>
      </c>
      <c r="M18" s="84">
        <v>59800</v>
      </c>
      <c r="N18" s="84"/>
      <c r="O18" s="9"/>
      <c r="P18" s="9">
        <v>-75000</v>
      </c>
      <c r="Q18" s="9">
        <v>-75000</v>
      </c>
      <c r="R18" s="84">
        <v>-54919</v>
      </c>
      <c r="S18" s="84">
        <v>88235</v>
      </c>
      <c r="T18" s="9"/>
      <c r="U18" s="9"/>
      <c r="V18" s="84">
        <v>194417</v>
      </c>
      <c r="W18" s="84">
        <v>339163</v>
      </c>
      <c r="X18" s="84">
        <v>33930</v>
      </c>
      <c r="Y18" s="84">
        <v>-669145</v>
      </c>
      <c r="Z18" s="9"/>
      <c r="AA18" s="84">
        <v>200000</v>
      </c>
      <c r="AB18" s="9"/>
      <c r="AC18" s="9"/>
      <c r="AD18" s="9"/>
      <c r="AE18" s="9"/>
      <c r="AF18" s="84">
        <v>-72</v>
      </c>
      <c r="AG18" s="84">
        <v>187062</v>
      </c>
      <c r="AH18" s="84">
        <v>-40500</v>
      </c>
      <c r="AI18" s="84">
        <v>-189695</v>
      </c>
      <c r="AJ18" s="84">
        <v>100000</v>
      </c>
      <c r="AK18" s="84">
        <v>125000</v>
      </c>
      <c r="AL18" s="9"/>
      <c r="AM18" s="9"/>
      <c r="AN18" s="84">
        <v>10016</v>
      </c>
      <c r="AO18" s="84">
        <v>23779</v>
      </c>
      <c r="AP18" s="9"/>
      <c r="AQ18" s="9"/>
      <c r="AR18" s="9"/>
      <c r="AS18" s="9"/>
      <c r="AT18" s="9"/>
      <c r="AU18" s="9"/>
      <c r="AV18" s="9"/>
      <c r="AW18" s="9"/>
      <c r="AX18" s="84">
        <v>-8624</v>
      </c>
      <c r="AY18" s="84">
        <v>-14237</v>
      </c>
      <c r="AZ18" s="9"/>
      <c r="BA18" s="9"/>
      <c r="BB18" s="9"/>
      <c r="BC18" s="9"/>
      <c r="BD18" s="9"/>
      <c r="BE18" s="9"/>
      <c r="BF18" s="84">
        <v>104952</v>
      </c>
      <c r="BG18" s="84">
        <v>175426</v>
      </c>
      <c r="BH18" s="84">
        <v>232</v>
      </c>
      <c r="BI18" s="84">
        <v>1759</v>
      </c>
      <c r="BJ18" s="84">
        <v>36</v>
      </c>
      <c r="BK18" s="84">
        <v>3298</v>
      </c>
      <c r="BL18" s="9"/>
      <c r="BM18" s="9"/>
      <c r="BN18" s="72">
        <f t="shared" ref="BN18:BN25" si="6">B18+D18+F18+H18+J18+L18+N18+P18+R18+T18+V18+X18+Z18+AB18+AD18+AF18+AH18+AJ18+AL18+AN18+AP18+AR18+AT18+AV18+AX18+AZ18+BB18+BD18+BF18+BH18+BJ18+BL18</f>
        <v>313038</v>
      </c>
      <c r="BO18" s="72">
        <f t="shared" ref="BO18:BO25" si="7">C18+E18+G18+I18+K18+M18+O18+Q18+S18+U18+W18+Y18+AA18+AC18+AE18+AG18+AI18+AK18+AM18+AO18+AQ18+AS18+AU18+AW18+AY18+BA18+BC18+BE18+BG18+BI18+BK18+BM18</f>
        <v>182536</v>
      </c>
    </row>
    <row r="19" spans="1:67" x14ac:dyDescent="0.25">
      <c r="A19" s="2" t="s">
        <v>266</v>
      </c>
      <c r="B19" s="9"/>
      <c r="C19" s="9"/>
      <c r="D19" s="9"/>
      <c r="E19" s="9"/>
      <c r="F19" s="9"/>
      <c r="G19" s="9"/>
      <c r="H19" s="84">
        <v>4091</v>
      </c>
      <c r="I19" s="84">
        <v>-4338</v>
      </c>
      <c r="J19" s="84">
        <v>-1797</v>
      </c>
      <c r="K19" s="84">
        <v>46215.6</v>
      </c>
      <c r="L19" s="84">
        <v>-860</v>
      </c>
      <c r="M19" s="84">
        <v>1036400</v>
      </c>
      <c r="N19" s="84">
        <v>36.78</v>
      </c>
      <c r="O19" s="84">
        <v>36.78</v>
      </c>
      <c r="P19" s="9"/>
      <c r="Q19" s="9"/>
      <c r="R19" s="9"/>
      <c r="S19" s="84">
        <v>2612</v>
      </c>
      <c r="T19" s="9"/>
      <c r="U19" s="9"/>
      <c r="V19" s="9"/>
      <c r="W19" s="84">
        <v>7950</v>
      </c>
      <c r="X19" s="84">
        <v>32346</v>
      </c>
      <c r="Y19" s="84">
        <v>109715</v>
      </c>
      <c r="Z19" s="9"/>
      <c r="AA19" s="9"/>
      <c r="AB19" s="9"/>
      <c r="AC19" s="9"/>
      <c r="AD19" s="9"/>
      <c r="AE19" s="9"/>
      <c r="AF19" s="84">
        <v>661</v>
      </c>
      <c r="AG19" s="84">
        <v>462</v>
      </c>
      <c r="AH19" s="84">
        <v>1209</v>
      </c>
      <c r="AI19" s="84">
        <v>2542</v>
      </c>
      <c r="AJ19" s="84">
        <v>6067</v>
      </c>
      <c r="AK19" s="84">
        <v>31903</v>
      </c>
      <c r="AL19" s="84"/>
      <c r="AM19" s="84">
        <v>1900000</v>
      </c>
      <c r="AN19" s="9"/>
      <c r="AO19" s="9"/>
      <c r="AP19" s="9"/>
      <c r="AQ19" s="9"/>
      <c r="AR19" s="9"/>
      <c r="AS19" s="9"/>
      <c r="AT19" s="9"/>
      <c r="AU19" s="9"/>
      <c r="AV19" s="84">
        <v>5064</v>
      </c>
      <c r="AW19" s="84">
        <v>15191</v>
      </c>
      <c r="AX19" s="9"/>
      <c r="AY19" s="84">
        <v>-2010</v>
      </c>
      <c r="AZ19" s="84">
        <v>-3</v>
      </c>
      <c r="BA19" s="9">
        <v>13</v>
      </c>
      <c r="BB19" s="9"/>
      <c r="BC19" s="9">
        <v>29</v>
      </c>
      <c r="BD19" s="9">
        <v>-73462</v>
      </c>
      <c r="BE19" s="84">
        <v>7541</v>
      </c>
      <c r="BF19" s="84">
        <v>608014</v>
      </c>
      <c r="BG19" s="84">
        <v>974609</v>
      </c>
      <c r="BH19" s="84">
        <v>-3747</v>
      </c>
      <c r="BI19" s="84">
        <v>5945</v>
      </c>
      <c r="BJ19" s="84">
        <v>62480</v>
      </c>
      <c r="BK19" s="84">
        <v>166726</v>
      </c>
      <c r="BL19" s="9"/>
      <c r="BM19" s="9"/>
      <c r="BN19" s="72">
        <f t="shared" si="6"/>
        <v>640099.78</v>
      </c>
      <c r="BO19" s="72">
        <f t="shared" si="7"/>
        <v>4301542.38</v>
      </c>
    </row>
    <row r="20" spans="1:67" x14ac:dyDescent="0.25">
      <c r="A20" s="2" t="s">
        <v>49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84">
        <f>3076+48675</f>
        <v>51751</v>
      </c>
      <c r="AW20" s="84">
        <f>3076+125776</f>
        <v>128852</v>
      </c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72">
        <f t="shared" si="6"/>
        <v>51751</v>
      </c>
      <c r="BO20" s="72">
        <f t="shared" si="7"/>
        <v>128852</v>
      </c>
    </row>
    <row r="21" spans="1:67" x14ac:dyDescent="0.25">
      <c r="A21" s="3" t="s">
        <v>267</v>
      </c>
      <c r="B21" s="9">
        <f>B22-B20-B19-B18</f>
        <v>1500</v>
      </c>
      <c r="C21" s="9">
        <f t="shared" ref="C21:AG21" si="8">C22-C20-C19-C18</f>
        <v>4153</v>
      </c>
      <c r="D21" s="9">
        <f t="shared" si="8"/>
        <v>22300</v>
      </c>
      <c r="E21" s="9">
        <f t="shared" si="8"/>
        <v>33315</v>
      </c>
      <c r="F21" s="9">
        <f t="shared" si="8"/>
        <v>32248</v>
      </c>
      <c r="G21" s="9">
        <f t="shared" si="8"/>
        <v>2075003</v>
      </c>
      <c r="H21" s="9">
        <f t="shared" si="8"/>
        <v>98429</v>
      </c>
      <c r="I21" s="9">
        <f t="shared" si="8"/>
        <v>332932</v>
      </c>
      <c r="J21" s="9">
        <f t="shared" si="8"/>
        <v>64300</v>
      </c>
      <c r="K21" s="9">
        <f t="shared" si="8"/>
        <v>255334.40000000002</v>
      </c>
      <c r="L21" s="9">
        <f t="shared" si="8"/>
        <v>572053</v>
      </c>
      <c r="M21" s="9">
        <f t="shared" si="8"/>
        <v>1133376</v>
      </c>
      <c r="N21" s="9">
        <f t="shared" si="8"/>
        <v>49208.840000000004</v>
      </c>
      <c r="O21" s="9">
        <f t="shared" si="8"/>
        <v>90597.92</v>
      </c>
      <c r="P21" s="9">
        <f t="shared" si="8"/>
        <v>922</v>
      </c>
      <c r="Q21" s="9">
        <f t="shared" si="8"/>
        <v>1988</v>
      </c>
      <c r="R21" s="9">
        <f t="shared" si="8"/>
        <v>7763</v>
      </c>
      <c r="S21" s="9">
        <f t="shared" si="8"/>
        <v>49496</v>
      </c>
      <c r="T21" s="9">
        <f t="shared" si="8"/>
        <v>5378</v>
      </c>
      <c r="U21" s="9">
        <f t="shared" si="8"/>
        <v>14607</v>
      </c>
      <c r="V21" s="9">
        <f t="shared" si="8"/>
        <v>166468</v>
      </c>
      <c r="W21" s="9">
        <f t="shared" si="8"/>
        <v>513567</v>
      </c>
      <c r="X21" s="9">
        <f t="shared" si="8"/>
        <v>271858</v>
      </c>
      <c r="Y21" s="9">
        <f t="shared" si="8"/>
        <v>1038334</v>
      </c>
      <c r="Z21" s="9">
        <f t="shared" si="8"/>
        <v>13026</v>
      </c>
      <c r="AA21" s="9">
        <f t="shared" si="8"/>
        <v>39079</v>
      </c>
      <c r="AB21" s="9">
        <f t="shared" si="8"/>
        <v>4044</v>
      </c>
      <c r="AC21" s="9">
        <f t="shared" si="8"/>
        <v>5162</v>
      </c>
      <c r="AD21" s="9">
        <f t="shared" si="8"/>
        <v>16113</v>
      </c>
      <c r="AE21" s="9">
        <f t="shared" si="8"/>
        <v>52418</v>
      </c>
      <c r="AF21" s="9">
        <f t="shared" si="8"/>
        <v>38534</v>
      </c>
      <c r="AG21" s="9">
        <f t="shared" si="8"/>
        <v>93815</v>
      </c>
      <c r="AH21" s="9">
        <f t="shared" ref="AH21:BM21" si="9">AH22-AH20-AH19-AH18</f>
        <v>8736</v>
      </c>
      <c r="AI21" s="9">
        <f t="shared" si="9"/>
        <v>46249</v>
      </c>
      <c r="AJ21" s="9">
        <f t="shared" si="9"/>
        <v>453165</v>
      </c>
      <c r="AK21" s="9">
        <f t="shared" si="9"/>
        <v>1087176</v>
      </c>
      <c r="AL21" s="9">
        <f t="shared" si="9"/>
        <v>196254</v>
      </c>
      <c r="AM21" s="9">
        <f t="shared" si="9"/>
        <v>587692</v>
      </c>
      <c r="AN21" s="9">
        <f t="shared" si="9"/>
        <v>1192</v>
      </c>
      <c r="AO21" s="9">
        <f t="shared" si="9"/>
        <v>3049</v>
      </c>
      <c r="AP21" s="9">
        <f t="shared" si="9"/>
        <v>138159</v>
      </c>
      <c r="AQ21" s="9">
        <f t="shared" si="9"/>
        <v>374252</v>
      </c>
      <c r="AR21" s="9">
        <f t="shared" si="9"/>
        <v>981556</v>
      </c>
      <c r="AS21" s="9">
        <f t="shared" si="9"/>
        <v>1983884</v>
      </c>
      <c r="AT21" s="9">
        <f t="shared" si="9"/>
        <v>13664</v>
      </c>
      <c r="AU21" s="9">
        <f t="shared" si="9"/>
        <v>54525</v>
      </c>
      <c r="AV21" s="9">
        <f t="shared" si="9"/>
        <v>39117</v>
      </c>
      <c r="AW21" s="9">
        <f t="shared" si="9"/>
        <v>217209</v>
      </c>
      <c r="AX21" s="9">
        <f t="shared" si="9"/>
        <v>10065</v>
      </c>
      <c r="AY21" s="9">
        <f t="shared" si="9"/>
        <v>46686</v>
      </c>
      <c r="AZ21" s="9">
        <f t="shared" si="9"/>
        <v>13239</v>
      </c>
      <c r="BA21" s="9">
        <f t="shared" si="9"/>
        <v>38633</v>
      </c>
      <c r="BB21" s="9">
        <f t="shared" si="9"/>
        <v>137236</v>
      </c>
      <c r="BC21" s="9">
        <f t="shared" si="9"/>
        <v>289898</v>
      </c>
      <c r="BD21" s="9">
        <f t="shared" si="9"/>
        <v>122334</v>
      </c>
      <c r="BE21" s="9">
        <f t="shared" si="9"/>
        <v>359083</v>
      </c>
      <c r="BF21" s="9">
        <f t="shared" si="9"/>
        <v>1095026</v>
      </c>
      <c r="BG21" s="9">
        <f t="shared" si="9"/>
        <v>3240662</v>
      </c>
      <c r="BH21" s="9">
        <f t="shared" si="9"/>
        <v>212166</v>
      </c>
      <c r="BI21" s="9">
        <f t="shared" si="9"/>
        <v>715974</v>
      </c>
      <c r="BJ21" s="9">
        <f t="shared" si="9"/>
        <v>217766</v>
      </c>
      <c r="BK21" s="9">
        <f t="shared" si="9"/>
        <v>654686</v>
      </c>
      <c r="BL21" s="9">
        <f t="shared" si="9"/>
        <v>43966</v>
      </c>
      <c r="BM21" s="9">
        <f t="shared" si="9"/>
        <v>52355</v>
      </c>
      <c r="BN21" s="72">
        <f t="shared" si="6"/>
        <v>5047785.84</v>
      </c>
      <c r="BO21" s="72">
        <f t="shared" si="7"/>
        <v>15485190.32</v>
      </c>
    </row>
    <row r="22" spans="1:67" s="7" customFormat="1" x14ac:dyDescent="0.25">
      <c r="A22" s="3" t="s">
        <v>30</v>
      </c>
      <c r="B22" s="10">
        <v>1500</v>
      </c>
      <c r="C22" s="10">
        <v>4153</v>
      </c>
      <c r="D22" s="10">
        <v>22300</v>
      </c>
      <c r="E22" s="10">
        <v>53315</v>
      </c>
      <c r="F22" s="10">
        <v>32248</v>
      </c>
      <c r="G22" s="10">
        <v>2075003</v>
      </c>
      <c r="H22" s="10">
        <v>102520</v>
      </c>
      <c r="I22" s="10">
        <v>-11815</v>
      </c>
      <c r="J22" s="10">
        <v>130003</v>
      </c>
      <c r="K22" s="10">
        <v>549050</v>
      </c>
      <c r="L22" s="10">
        <v>552263</v>
      </c>
      <c r="M22" s="10">
        <v>2229576</v>
      </c>
      <c r="N22" s="10">
        <v>49245.62</v>
      </c>
      <c r="O22" s="10">
        <v>90634.7</v>
      </c>
      <c r="P22" s="10">
        <v>-74078</v>
      </c>
      <c r="Q22" s="10">
        <v>-73012</v>
      </c>
      <c r="R22" s="10">
        <v>-47156</v>
      </c>
      <c r="S22" s="10">
        <v>140343</v>
      </c>
      <c r="T22" s="10">
        <v>5378</v>
      </c>
      <c r="U22" s="10">
        <v>14607</v>
      </c>
      <c r="V22" s="10">
        <v>360885</v>
      </c>
      <c r="W22" s="10">
        <v>860680</v>
      </c>
      <c r="X22" s="10">
        <v>338134</v>
      </c>
      <c r="Y22" s="10">
        <v>478904</v>
      </c>
      <c r="Z22" s="10">
        <v>13026</v>
      </c>
      <c r="AA22" s="10">
        <v>239079</v>
      </c>
      <c r="AB22" s="10">
        <v>4044</v>
      </c>
      <c r="AC22" s="10">
        <v>5162</v>
      </c>
      <c r="AD22" s="10">
        <v>16113</v>
      </c>
      <c r="AE22" s="10">
        <v>52418</v>
      </c>
      <c r="AF22" s="10">
        <v>39123</v>
      </c>
      <c r="AG22" s="10">
        <v>281339</v>
      </c>
      <c r="AH22" s="10">
        <v>-30555</v>
      </c>
      <c r="AI22" s="10">
        <v>-140904</v>
      </c>
      <c r="AJ22" s="10">
        <v>559232</v>
      </c>
      <c r="AK22" s="10">
        <v>1244079</v>
      </c>
      <c r="AL22" s="10">
        <v>196254</v>
      </c>
      <c r="AM22" s="10">
        <v>2487692</v>
      </c>
      <c r="AN22" s="10">
        <v>11208</v>
      </c>
      <c r="AO22" s="10">
        <v>26828</v>
      </c>
      <c r="AP22" s="10">
        <v>138159</v>
      </c>
      <c r="AQ22" s="10">
        <v>374252</v>
      </c>
      <c r="AR22" s="10">
        <v>981556</v>
      </c>
      <c r="AS22" s="10">
        <v>1983884</v>
      </c>
      <c r="AT22" s="10">
        <v>13664</v>
      </c>
      <c r="AU22" s="10">
        <v>54525</v>
      </c>
      <c r="AV22" s="10">
        <v>95932</v>
      </c>
      <c r="AW22" s="10">
        <v>361252</v>
      </c>
      <c r="AX22" s="10">
        <v>1441</v>
      </c>
      <c r="AY22" s="10">
        <v>30439</v>
      </c>
      <c r="AZ22" s="10">
        <v>13236</v>
      </c>
      <c r="BA22" s="10">
        <v>38646</v>
      </c>
      <c r="BB22" s="10">
        <v>137236</v>
      </c>
      <c r="BC22" s="10">
        <v>289927</v>
      </c>
      <c r="BD22" s="10">
        <v>48872</v>
      </c>
      <c r="BE22" s="10">
        <v>366624</v>
      </c>
      <c r="BF22" s="10">
        <v>1807992</v>
      </c>
      <c r="BG22" s="10">
        <v>4390697</v>
      </c>
      <c r="BH22" s="10">
        <v>208651</v>
      </c>
      <c r="BI22" s="10">
        <v>723678</v>
      </c>
      <c r="BJ22" s="10">
        <v>280282</v>
      </c>
      <c r="BK22" s="10">
        <v>824710</v>
      </c>
      <c r="BL22" s="10">
        <v>43966</v>
      </c>
      <c r="BM22" s="10">
        <v>52355</v>
      </c>
      <c r="BN22" s="68">
        <f t="shared" si="6"/>
        <v>6052674.6200000001</v>
      </c>
      <c r="BO22" s="68">
        <f t="shared" si="7"/>
        <v>20098120.699999999</v>
      </c>
    </row>
    <row r="23" spans="1:67" s="7" customFormat="1" x14ac:dyDescent="0.25">
      <c r="A23" s="3" t="s">
        <v>268</v>
      </c>
      <c r="B23" s="10">
        <f>B16-B22</f>
        <v>-687368</v>
      </c>
      <c r="C23" s="10">
        <f t="shared" ref="C23:AH23" si="10">C16-C22</f>
        <v>-1008986</v>
      </c>
      <c r="D23" s="10">
        <f t="shared" si="10"/>
        <v>-509745</v>
      </c>
      <c r="E23" s="10">
        <f t="shared" si="10"/>
        <v>-1748043</v>
      </c>
      <c r="F23" s="10">
        <f t="shared" si="10"/>
        <v>4070904</v>
      </c>
      <c r="G23" s="10">
        <f t="shared" si="10"/>
        <v>5141082</v>
      </c>
      <c r="H23" s="10">
        <f t="shared" si="10"/>
        <v>4403802</v>
      </c>
      <c r="I23" s="10">
        <f t="shared" si="10"/>
        <v>14104680</v>
      </c>
      <c r="J23" s="10">
        <f t="shared" si="10"/>
        <v>-16226</v>
      </c>
      <c r="K23" s="10">
        <f t="shared" si="10"/>
        <v>932369</v>
      </c>
      <c r="L23" s="10">
        <f t="shared" si="10"/>
        <v>470106</v>
      </c>
      <c r="M23" s="10">
        <f t="shared" si="10"/>
        <v>3138079</v>
      </c>
      <c r="N23" s="10">
        <f t="shared" si="10"/>
        <v>4176553.7</v>
      </c>
      <c r="O23" s="10">
        <f t="shared" si="10"/>
        <v>4734951.16</v>
      </c>
      <c r="P23" s="10">
        <f t="shared" si="10"/>
        <v>-213825</v>
      </c>
      <c r="Q23" s="10">
        <f t="shared" si="10"/>
        <v>-665769</v>
      </c>
      <c r="R23" s="10">
        <f t="shared" si="10"/>
        <v>608434</v>
      </c>
      <c r="S23" s="10">
        <f t="shared" si="10"/>
        <v>1490247</v>
      </c>
      <c r="T23" s="10">
        <f t="shared" si="10"/>
        <v>-413716</v>
      </c>
      <c r="U23" s="10">
        <f t="shared" si="10"/>
        <v>51457</v>
      </c>
      <c r="V23" s="10">
        <f t="shared" si="10"/>
        <v>1557514</v>
      </c>
      <c r="W23" s="10">
        <f t="shared" si="10"/>
        <v>6849407</v>
      </c>
      <c r="X23" s="10">
        <f t="shared" si="10"/>
        <v>4182318</v>
      </c>
      <c r="Y23" s="10">
        <f t="shared" si="10"/>
        <v>15038382</v>
      </c>
      <c r="Z23" s="10">
        <f t="shared" si="10"/>
        <v>975270</v>
      </c>
      <c r="AA23" s="10">
        <f t="shared" si="10"/>
        <v>4529715</v>
      </c>
      <c r="AB23" s="10">
        <f t="shared" si="10"/>
        <v>-31913</v>
      </c>
      <c r="AC23" s="10">
        <f t="shared" si="10"/>
        <v>165551</v>
      </c>
      <c r="AD23" s="10">
        <f t="shared" si="10"/>
        <v>-695228</v>
      </c>
      <c r="AE23" s="10">
        <f t="shared" si="10"/>
        <v>426037</v>
      </c>
      <c r="AF23" s="10">
        <f t="shared" si="10"/>
        <v>20785</v>
      </c>
      <c r="AG23" s="10">
        <f t="shared" si="10"/>
        <v>299032</v>
      </c>
      <c r="AH23" s="10">
        <f t="shared" si="10"/>
        <v>-392802</v>
      </c>
      <c r="AI23" s="10">
        <f t="shared" ref="AI23:BM23" si="11">AI16-AI22</f>
        <v>-832652</v>
      </c>
      <c r="AJ23" s="10">
        <f t="shared" si="11"/>
        <v>-505038</v>
      </c>
      <c r="AK23" s="10">
        <f t="shared" si="11"/>
        <v>-478498</v>
      </c>
      <c r="AL23" s="10">
        <f t="shared" si="11"/>
        <v>-3447810.2656999719</v>
      </c>
      <c r="AM23" s="10">
        <f t="shared" si="11"/>
        <v>1394852.8951935302</v>
      </c>
      <c r="AN23" s="10">
        <f t="shared" si="11"/>
        <v>-92710</v>
      </c>
      <c r="AO23" s="10">
        <f t="shared" si="11"/>
        <v>-1160016</v>
      </c>
      <c r="AP23" s="10">
        <f t="shared" si="11"/>
        <v>-266698</v>
      </c>
      <c r="AQ23" s="10">
        <f t="shared" si="11"/>
        <v>-571468</v>
      </c>
      <c r="AR23" s="10">
        <f t="shared" si="11"/>
        <v>674154</v>
      </c>
      <c r="AS23" s="10">
        <f t="shared" si="11"/>
        <v>2869691</v>
      </c>
      <c r="AT23" s="10">
        <f t="shared" si="11"/>
        <v>26951</v>
      </c>
      <c r="AU23" s="10">
        <f t="shared" si="11"/>
        <v>307831</v>
      </c>
      <c r="AV23" s="10">
        <f t="shared" si="11"/>
        <v>-47801</v>
      </c>
      <c r="AW23" s="10">
        <f t="shared" si="11"/>
        <v>2254614</v>
      </c>
      <c r="AX23" s="10">
        <f t="shared" si="11"/>
        <v>1381669</v>
      </c>
      <c r="AY23" s="10">
        <f t="shared" si="11"/>
        <v>5402352</v>
      </c>
      <c r="AZ23" s="10">
        <f t="shared" si="11"/>
        <v>1239879</v>
      </c>
      <c r="BA23" s="10">
        <f t="shared" si="11"/>
        <v>5553382</v>
      </c>
      <c r="BB23" s="10">
        <f t="shared" si="11"/>
        <v>-3450217</v>
      </c>
      <c r="BC23" s="10">
        <f t="shared" si="11"/>
        <v>-1674273</v>
      </c>
      <c r="BD23" s="10">
        <f t="shared" si="11"/>
        <v>837336</v>
      </c>
      <c r="BE23" s="10">
        <f t="shared" si="11"/>
        <v>5000173</v>
      </c>
      <c r="BF23" s="10">
        <f t="shared" si="11"/>
        <v>6617810</v>
      </c>
      <c r="BG23" s="10">
        <f t="shared" si="11"/>
        <v>17017564</v>
      </c>
      <c r="BH23" s="10">
        <f t="shared" si="11"/>
        <v>-7731115</v>
      </c>
      <c r="BI23" s="10">
        <f t="shared" si="11"/>
        <v>-7576651</v>
      </c>
      <c r="BJ23" s="10">
        <f t="shared" si="11"/>
        <v>-6214936</v>
      </c>
      <c r="BK23" s="10">
        <f t="shared" si="11"/>
        <v>-4521356</v>
      </c>
      <c r="BL23" s="10">
        <f t="shared" si="11"/>
        <v>445951</v>
      </c>
      <c r="BM23" s="10">
        <f t="shared" si="11"/>
        <v>1582554</v>
      </c>
      <c r="BN23" s="68">
        <f t="shared" si="6"/>
        <v>6972288.4343000278</v>
      </c>
      <c r="BO23" s="68">
        <f t="shared" si="7"/>
        <v>78046291.055193529</v>
      </c>
    </row>
    <row r="24" spans="1:67" x14ac:dyDescent="0.25">
      <c r="A24" s="2" t="s">
        <v>270</v>
      </c>
      <c r="B24" s="9"/>
      <c r="C24" s="9"/>
      <c r="D24" s="9"/>
      <c r="E24" s="9"/>
      <c r="F24" s="84">
        <v>428733</v>
      </c>
      <c r="G24" s="84">
        <v>1294010</v>
      </c>
      <c r="H24" s="84">
        <v>1103802</v>
      </c>
      <c r="I24" s="84">
        <v>3532727</v>
      </c>
      <c r="J24" s="9"/>
      <c r="K24" s="9"/>
      <c r="L24" s="84">
        <v>112682</v>
      </c>
      <c r="M24" s="84">
        <v>769391</v>
      </c>
      <c r="N24" s="84">
        <f>11456.93+820000+4446.63-16977.93</f>
        <v>818925.63</v>
      </c>
      <c r="O24" s="9">
        <f>960000+28603.91-16977.93</f>
        <v>971625.98</v>
      </c>
      <c r="P24" s="9"/>
      <c r="Q24" s="9"/>
      <c r="R24" s="9">
        <f>162108+246</f>
        <v>162354</v>
      </c>
      <c r="S24" s="9">
        <f>403376-12293</f>
        <v>391083</v>
      </c>
      <c r="T24" s="9"/>
      <c r="U24" s="9"/>
      <c r="V24" s="9">
        <f>385739+11799</f>
        <v>397538</v>
      </c>
      <c r="W24" s="9">
        <f>1696347+51889</f>
        <v>1748236</v>
      </c>
      <c r="X24" s="9">
        <f>1537157-490169</f>
        <v>1046988</v>
      </c>
      <c r="Y24" s="9">
        <f>5338416-1573754</f>
        <v>3764662</v>
      </c>
      <c r="Z24" s="9">
        <f>217000-27000</f>
        <v>190000</v>
      </c>
      <c r="AA24" s="9">
        <f>1112000-90100</f>
        <v>1021900</v>
      </c>
      <c r="AB24" s="9"/>
      <c r="AC24" s="9"/>
      <c r="AD24" s="9"/>
      <c r="AE24" s="9"/>
      <c r="AF24" s="9">
        <f>-2274+7572</f>
        <v>5298</v>
      </c>
      <c r="AG24" s="9">
        <f>68656+7572</f>
        <v>76228</v>
      </c>
      <c r="AH24" s="9"/>
      <c r="AI24" s="9"/>
      <c r="AJ24" s="9"/>
      <c r="AK24" s="9"/>
      <c r="AL24" s="84">
        <v>-3297</v>
      </c>
      <c r="AM24" s="84">
        <v>-43</v>
      </c>
      <c r="AN24" s="9"/>
      <c r="AO24" s="9"/>
      <c r="AP24" s="9">
        <v>-1422</v>
      </c>
      <c r="AQ24" s="9">
        <v>-3193</v>
      </c>
      <c r="AR24" s="9">
        <f>2967+149810+87122</f>
        <v>239899</v>
      </c>
      <c r="AS24" s="9">
        <f>435577+149810+523386</f>
        <v>1108773</v>
      </c>
      <c r="AT24" s="9"/>
      <c r="AU24" s="9"/>
      <c r="AV24" s="84">
        <v>-11530</v>
      </c>
      <c r="AW24" s="84">
        <v>564228</v>
      </c>
      <c r="AX24" s="9">
        <f>356788-6779</f>
        <v>350009</v>
      </c>
      <c r="AY24" s="9">
        <f>1399180-31062</f>
        <v>1368118</v>
      </c>
      <c r="AZ24" s="84">
        <v>227115</v>
      </c>
      <c r="BA24" s="84">
        <v>1246382</v>
      </c>
      <c r="BB24" s="9">
        <f>-493022-406943+40711</f>
        <v>-859254</v>
      </c>
      <c r="BC24" s="9">
        <f>-365768-20543</f>
        <v>-386311</v>
      </c>
      <c r="BD24" s="9">
        <f>136429+5115</f>
        <v>141544</v>
      </c>
      <c r="BE24" s="9">
        <f>2006915-772476</f>
        <v>1234439</v>
      </c>
      <c r="BF24" s="9">
        <f>1569161-163652</f>
        <v>1405509</v>
      </c>
      <c r="BG24" s="9">
        <f>3877155-492498</f>
        <v>3384657</v>
      </c>
      <c r="BH24" s="9"/>
      <c r="BI24" s="9"/>
      <c r="BJ24" s="9"/>
      <c r="BK24" s="9"/>
      <c r="BL24" s="9"/>
      <c r="BM24" s="9"/>
      <c r="BN24" s="72">
        <f t="shared" si="6"/>
        <v>5754893.6299999999</v>
      </c>
      <c r="BO24" s="72">
        <f t="shared" si="7"/>
        <v>22086912.98</v>
      </c>
    </row>
    <row r="25" spans="1:67" s="7" customFormat="1" x14ac:dyDescent="0.25">
      <c r="A25" s="3" t="s">
        <v>269</v>
      </c>
      <c r="B25" s="10">
        <f>B23-B24</f>
        <v>-687368</v>
      </c>
      <c r="C25" s="10">
        <f t="shared" ref="C25:AH25" si="12">C23-C24</f>
        <v>-1008986</v>
      </c>
      <c r="D25" s="10">
        <f t="shared" si="12"/>
        <v>-509745</v>
      </c>
      <c r="E25" s="10">
        <f t="shared" si="12"/>
        <v>-1748043</v>
      </c>
      <c r="F25" s="10">
        <f t="shared" si="12"/>
        <v>3642171</v>
      </c>
      <c r="G25" s="10">
        <f t="shared" si="12"/>
        <v>3847072</v>
      </c>
      <c r="H25" s="10">
        <f t="shared" si="12"/>
        <v>3300000</v>
      </c>
      <c r="I25" s="10">
        <f t="shared" si="12"/>
        <v>10571953</v>
      </c>
      <c r="J25" s="10">
        <f t="shared" si="12"/>
        <v>-16226</v>
      </c>
      <c r="K25" s="10">
        <f t="shared" si="12"/>
        <v>932369</v>
      </c>
      <c r="L25" s="10">
        <f t="shared" si="12"/>
        <v>357424</v>
      </c>
      <c r="M25" s="10">
        <f t="shared" si="12"/>
        <v>2368688</v>
      </c>
      <c r="N25" s="10">
        <f t="shared" si="12"/>
        <v>3357628.0700000003</v>
      </c>
      <c r="O25" s="10">
        <f t="shared" si="12"/>
        <v>3763325.18</v>
      </c>
      <c r="P25" s="10">
        <f t="shared" si="12"/>
        <v>-213825</v>
      </c>
      <c r="Q25" s="10">
        <f t="shared" si="12"/>
        <v>-665769</v>
      </c>
      <c r="R25" s="10">
        <f t="shared" si="12"/>
        <v>446080</v>
      </c>
      <c r="S25" s="10">
        <f t="shared" si="12"/>
        <v>1099164</v>
      </c>
      <c r="T25" s="10">
        <f t="shared" si="12"/>
        <v>-413716</v>
      </c>
      <c r="U25" s="10">
        <f t="shared" si="12"/>
        <v>51457</v>
      </c>
      <c r="V25" s="10">
        <f t="shared" si="12"/>
        <v>1159976</v>
      </c>
      <c r="W25" s="10">
        <f t="shared" si="12"/>
        <v>5101171</v>
      </c>
      <c r="X25" s="10">
        <f t="shared" si="12"/>
        <v>3135330</v>
      </c>
      <c r="Y25" s="10">
        <f t="shared" si="12"/>
        <v>11273720</v>
      </c>
      <c r="Z25" s="10">
        <f t="shared" si="12"/>
        <v>785270</v>
      </c>
      <c r="AA25" s="10">
        <f t="shared" si="12"/>
        <v>3507815</v>
      </c>
      <c r="AB25" s="10">
        <f t="shared" si="12"/>
        <v>-31913</v>
      </c>
      <c r="AC25" s="10">
        <f t="shared" si="12"/>
        <v>165551</v>
      </c>
      <c r="AD25" s="10">
        <f t="shared" si="12"/>
        <v>-695228</v>
      </c>
      <c r="AE25" s="10">
        <f t="shared" si="12"/>
        <v>426037</v>
      </c>
      <c r="AF25" s="10">
        <f t="shared" si="12"/>
        <v>15487</v>
      </c>
      <c r="AG25" s="10">
        <f t="shared" si="12"/>
        <v>222804</v>
      </c>
      <c r="AH25" s="10">
        <f t="shared" si="12"/>
        <v>-392802</v>
      </c>
      <c r="AI25" s="10">
        <f t="shared" ref="AI25:BM25" si="13">AI23-AI24</f>
        <v>-832652</v>
      </c>
      <c r="AJ25" s="10">
        <f t="shared" si="13"/>
        <v>-505038</v>
      </c>
      <c r="AK25" s="10">
        <f t="shared" si="13"/>
        <v>-478498</v>
      </c>
      <c r="AL25" s="10">
        <f t="shared" si="13"/>
        <v>-3444513.2656999719</v>
      </c>
      <c r="AM25" s="10">
        <f t="shared" si="13"/>
        <v>1394895.8951935302</v>
      </c>
      <c r="AN25" s="10">
        <f t="shared" si="13"/>
        <v>-92710</v>
      </c>
      <c r="AO25" s="10">
        <f t="shared" si="13"/>
        <v>-1160016</v>
      </c>
      <c r="AP25" s="10">
        <f t="shared" si="13"/>
        <v>-265276</v>
      </c>
      <c r="AQ25" s="10">
        <f t="shared" si="13"/>
        <v>-568275</v>
      </c>
      <c r="AR25" s="10">
        <f t="shared" si="13"/>
        <v>434255</v>
      </c>
      <c r="AS25" s="10">
        <f t="shared" si="13"/>
        <v>1760918</v>
      </c>
      <c r="AT25" s="10">
        <f t="shared" si="13"/>
        <v>26951</v>
      </c>
      <c r="AU25" s="10">
        <f t="shared" si="13"/>
        <v>307831</v>
      </c>
      <c r="AV25" s="10">
        <f t="shared" si="13"/>
        <v>-36271</v>
      </c>
      <c r="AW25" s="10">
        <f t="shared" si="13"/>
        <v>1690386</v>
      </c>
      <c r="AX25" s="10">
        <f t="shared" si="13"/>
        <v>1031660</v>
      </c>
      <c r="AY25" s="10">
        <f t="shared" si="13"/>
        <v>4034234</v>
      </c>
      <c r="AZ25" s="10">
        <f t="shared" si="13"/>
        <v>1012764</v>
      </c>
      <c r="BA25" s="10">
        <f t="shared" si="13"/>
        <v>4307000</v>
      </c>
      <c r="BB25" s="10">
        <f t="shared" si="13"/>
        <v>-2590963</v>
      </c>
      <c r="BC25" s="10">
        <f t="shared" si="13"/>
        <v>-1287962</v>
      </c>
      <c r="BD25" s="10">
        <f t="shared" si="13"/>
        <v>695792</v>
      </c>
      <c r="BE25" s="10">
        <f t="shared" si="13"/>
        <v>3765734</v>
      </c>
      <c r="BF25" s="10">
        <f t="shared" si="13"/>
        <v>5212301</v>
      </c>
      <c r="BG25" s="10">
        <f t="shared" si="13"/>
        <v>13632907</v>
      </c>
      <c r="BH25" s="10">
        <f t="shared" si="13"/>
        <v>-7731115</v>
      </c>
      <c r="BI25" s="10">
        <f t="shared" si="13"/>
        <v>-7576651</v>
      </c>
      <c r="BJ25" s="10">
        <f t="shared" si="13"/>
        <v>-6214936</v>
      </c>
      <c r="BK25" s="10">
        <f t="shared" si="13"/>
        <v>-4521356</v>
      </c>
      <c r="BL25" s="10">
        <f t="shared" si="13"/>
        <v>445951</v>
      </c>
      <c r="BM25" s="10">
        <f t="shared" si="13"/>
        <v>1582554</v>
      </c>
      <c r="BN25" s="68">
        <f t="shared" si="6"/>
        <v>1217394.8043000288</v>
      </c>
      <c r="BO25" s="68">
        <f t="shared" si="7"/>
        <v>55959378.075193532</v>
      </c>
    </row>
  </sheetData>
  <mergeCells count="33">
    <mergeCell ref="AP3:AQ3"/>
    <mergeCell ref="AR3:AS3"/>
    <mergeCell ref="BB3:BC3"/>
    <mergeCell ref="BD3:BE3"/>
    <mergeCell ref="BN3:BO3"/>
    <mergeCell ref="BH3:BI3"/>
    <mergeCell ref="BJ3:BK3"/>
    <mergeCell ref="BL3:BM3"/>
    <mergeCell ref="BF3:BG3"/>
    <mergeCell ref="AV3:AW3"/>
    <mergeCell ref="AX3:AY3"/>
    <mergeCell ref="AZ3:BA3"/>
    <mergeCell ref="AT3:AU3"/>
    <mergeCell ref="AF3:AG3"/>
    <mergeCell ref="AH3:AI3"/>
    <mergeCell ref="AJ3:AK3"/>
    <mergeCell ref="AL3:AM3"/>
    <mergeCell ref="AN3:AO3"/>
    <mergeCell ref="V3:W3"/>
    <mergeCell ref="X3:Y3"/>
    <mergeCell ref="Z3:AA3"/>
    <mergeCell ref="AB3:AC3"/>
    <mergeCell ref="AD3:AE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12" t="s">
        <v>295</v>
      </c>
    </row>
    <row r="2" spans="1:34" x14ac:dyDescent="0.25">
      <c r="A2" s="13" t="s">
        <v>34</v>
      </c>
    </row>
    <row r="3" spans="1:34" x14ac:dyDescent="0.25">
      <c r="A3" s="1" t="s">
        <v>0</v>
      </c>
      <c r="B3" s="75" t="s">
        <v>1</v>
      </c>
      <c r="C3" s="75" t="s">
        <v>282</v>
      </c>
      <c r="D3" s="75" t="s">
        <v>2</v>
      </c>
      <c r="E3" s="75" t="s">
        <v>3</v>
      </c>
      <c r="F3" s="75" t="s">
        <v>4</v>
      </c>
      <c r="G3" s="75" t="s">
        <v>283</v>
      </c>
      <c r="H3" s="75" t="s">
        <v>6</v>
      </c>
      <c r="I3" s="75" t="s">
        <v>5</v>
      </c>
      <c r="J3" s="75" t="s">
        <v>7</v>
      </c>
      <c r="K3" s="75" t="s">
        <v>284</v>
      </c>
      <c r="L3" s="75" t="s">
        <v>8</v>
      </c>
      <c r="M3" s="75" t="s">
        <v>9</v>
      </c>
      <c r="N3" s="75" t="s">
        <v>10</v>
      </c>
      <c r="O3" s="75" t="s">
        <v>304</v>
      </c>
      <c r="P3" s="75" t="s">
        <v>11</v>
      </c>
      <c r="Q3" s="75" t="s">
        <v>12</v>
      </c>
      <c r="R3" s="75" t="s">
        <v>285</v>
      </c>
      <c r="S3" s="75" t="s">
        <v>290</v>
      </c>
      <c r="T3" s="75" t="s">
        <v>13</v>
      </c>
      <c r="U3" s="75" t="s">
        <v>286</v>
      </c>
      <c r="V3" s="75" t="s">
        <v>287</v>
      </c>
      <c r="W3" s="75" t="s">
        <v>291</v>
      </c>
      <c r="X3" s="75" t="s">
        <v>305</v>
      </c>
      <c r="Y3" s="75" t="s">
        <v>14</v>
      </c>
      <c r="Z3" s="75" t="s">
        <v>15</v>
      </c>
      <c r="AA3" s="75" t="s">
        <v>16</v>
      </c>
      <c r="AB3" s="75" t="s">
        <v>17</v>
      </c>
      <c r="AC3" s="75" t="s">
        <v>18</v>
      </c>
      <c r="AD3" s="90" t="s">
        <v>288</v>
      </c>
      <c r="AE3" s="90" t="s">
        <v>289</v>
      </c>
      <c r="AF3" s="90" t="s">
        <v>19</v>
      </c>
      <c r="AG3" s="75" t="s">
        <v>20</v>
      </c>
      <c r="AH3" s="89" t="s">
        <v>21</v>
      </c>
    </row>
    <row r="4" spans="1:34" x14ac:dyDescent="0.25">
      <c r="A4" s="3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68"/>
    </row>
    <row r="5" spans="1:34" x14ac:dyDescent="0.25">
      <c r="A5" s="21" t="s">
        <v>233</v>
      </c>
      <c r="B5" s="84">
        <v>5460000</v>
      </c>
      <c r="C5" s="84">
        <v>3603943</v>
      </c>
      <c r="D5" s="84">
        <v>2000000</v>
      </c>
      <c r="E5" s="84">
        <v>1102273</v>
      </c>
      <c r="F5" s="84">
        <v>20559812</v>
      </c>
      <c r="G5" s="84">
        <v>2988057</v>
      </c>
      <c r="H5" s="84">
        <v>29500000</v>
      </c>
      <c r="I5" s="84">
        <v>3630000</v>
      </c>
      <c r="J5" s="84">
        <v>9048037</v>
      </c>
      <c r="K5" s="84">
        <v>8168431</v>
      </c>
      <c r="L5" s="84">
        <v>7115649</v>
      </c>
      <c r="M5" s="84">
        <v>4545316</v>
      </c>
      <c r="N5" s="84">
        <v>2742183</v>
      </c>
      <c r="O5" s="84">
        <v>3300000</v>
      </c>
      <c r="P5" s="84">
        <v>10862252</v>
      </c>
      <c r="Q5" s="84">
        <v>1547073</v>
      </c>
      <c r="R5" s="84">
        <v>9419022</v>
      </c>
      <c r="S5" s="84">
        <v>12111563</v>
      </c>
      <c r="T5" s="84">
        <v>49750000</v>
      </c>
      <c r="U5" s="84">
        <v>4957900</v>
      </c>
      <c r="V5" s="84">
        <v>2454758</v>
      </c>
      <c r="W5" s="84">
        <v>2515499</v>
      </c>
      <c r="X5" s="84">
        <v>8313548</v>
      </c>
      <c r="Y5" s="84">
        <v>4490000</v>
      </c>
      <c r="Z5" s="84">
        <v>2155000</v>
      </c>
      <c r="AA5" s="84">
        <v>2591628</v>
      </c>
      <c r="AB5" s="84">
        <v>5230071</v>
      </c>
      <c r="AC5" s="84">
        <v>9944560</v>
      </c>
      <c r="AD5" s="84">
        <v>8240000</v>
      </c>
      <c r="AE5" s="84">
        <v>18200000</v>
      </c>
      <c r="AF5" s="84">
        <v>31050000</v>
      </c>
      <c r="AG5" s="84">
        <v>3681818</v>
      </c>
      <c r="AH5" s="69">
        <f t="shared" ref="AH5:AH10" si="0">SUM(B5:AG5)</f>
        <v>291278393</v>
      </c>
    </row>
    <row r="6" spans="1:34" x14ac:dyDescent="0.25">
      <c r="A6" s="21" t="s">
        <v>234</v>
      </c>
      <c r="B6" s="84"/>
      <c r="C6" s="84">
        <v>10206057</v>
      </c>
      <c r="D6" s="84">
        <v>43285055</v>
      </c>
      <c r="E6" s="84">
        <v>68986221</v>
      </c>
      <c r="F6" s="84">
        <v>1719685</v>
      </c>
      <c r="G6" s="84">
        <v>15409567</v>
      </c>
      <c r="H6" s="84">
        <v>30912505.489999998</v>
      </c>
      <c r="I6" s="84"/>
      <c r="J6" s="84">
        <v>1883798</v>
      </c>
      <c r="K6" s="84">
        <v>8426421</v>
      </c>
      <c r="L6" s="84">
        <v>26475283</v>
      </c>
      <c r="M6" s="84">
        <v>68117284</v>
      </c>
      <c r="N6" s="84">
        <v>25348175</v>
      </c>
      <c r="O6" s="84"/>
      <c r="P6" s="84">
        <v>7481249</v>
      </c>
      <c r="Q6" s="84">
        <v>2796224</v>
      </c>
      <c r="R6" s="84">
        <v>3298637</v>
      </c>
      <c r="S6" s="84">
        <v>168437</v>
      </c>
      <c r="T6" s="84">
        <v>165051</v>
      </c>
      <c r="U6" s="84"/>
      <c r="V6" s="84">
        <v>615613</v>
      </c>
      <c r="W6" s="84">
        <v>17707154</v>
      </c>
      <c r="X6" s="84">
        <v>2884966</v>
      </c>
      <c r="Y6" s="84">
        <v>8903137</v>
      </c>
      <c r="Z6" s="84">
        <v>24020117</v>
      </c>
      <c r="AA6" s="84">
        <v>18176595</v>
      </c>
      <c r="AB6" s="84">
        <v>26772673</v>
      </c>
      <c r="AC6" s="84">
        <v>19187141</v>
      </c>
      <c r="AD6" s="84">
        <v>179993236</v>
      </c>
      <c r="AE6" s="84">
        <v>3812543</v>
      </c>
      <c r="AF6" s="84">
        <v>8573506</v>
      </c>
      <c r="AG6" s="84">
        <v>7443225</v>
      </c>
      <c r="AH6" s="69">
        <f t="shared" si="0"/>
        <v>632769555.49000001</v>
      </c>
    </row>
    <row r="7" spans="1:34" x14ac:dyDescent="0.25">
      <c r="A7" s="21" t="s">
        <v>235</v>
      </c>
      <c r="B7" s="84">
        <f>1405+447</f>
        <v>1852</v>
      </c>
      <c r="C7" s="84">
        <v>4898</v>
      </c>
      <c r="D7" s="84">
        <v>436521</v>
      </c>
      <c r="E7" s="84">
        <v>3591557</v>
      </c>
      <c r="F7" s="84">
        <f>60747+9856</f>
        <v>70603</v>
      </c>
      <c r="G7" s="84">
        <f>172595+32508</f>
        <v>205103</v>
      </c>
      <c r="H7" s="84">
        <f>2386490+3163485.68</f>
        <v>5549975.6799999997</v>
      </c>
      <c r="I7" s="84">
        <f>29298-67158</f>
        <v>-37860</v>
      </c>
      <c r="J7" s="84">
        <f>-13014-3707</f>
        <v>-16721</v>
      </c>
      <c r="K7" s="84">
        <v>478219</v>
      </c>
      <c r="L7" s="84">
        <f>27061+110505</f>
        <v>137566</v>
      </c>
      <c r="M7" s="84">
        <f>1459788+4614073</f>
        <v>6073861</v>
      </c>
      <c r="N7" s="84">
        <f>-2560-8702</f>
        <v>-11262</v>
      </c>
      <c r="O7" s="84">
        <v>49</v>
      </c>
      <c r="P7" s="84">
        <f>131+353</f>
        <v>484</v>
      </c>
      <c r="Q7" s="84">
        <v>196</v>
      </c>
      <c r="R7" s="84">
        <v>455</v>
      </c>
      <c r="S7" s="84">
        <f>1092+67</f>
        <v>1159</v>
      </c>
      <c r="T7" s="84">
        <f>260242+11103561</f>
        <v>11363803</v>
      </c>
      <c r="U7" s="84">
        <v>1369</v>
      </c>
      <c r="V7" s="84">
        <f>216+640</f>
        <v>856</v>
      </c>
      <c r="W7" s="84">
        <f>-3359-19023</f>
        <v>-22382</v>
      </c>
      <c r="X7" s="84">
        <f>-24499+2416</f>
        <v>-22083</v>
      </c>
      <c r="Y7" s="84">
        <f>119663+553328</f>
        <v>672991</v>
      </c>
      <c r="Z7" s="84">
        <f>953+769220</f>
        <v>770173</v>
      </c>
      <c r="AA7" s="84">
        <v>131494</v>
      </c>
      <c r="AB7" s="84">
        <f>35897+44079</f>
        <v>79976</v>
      </c>
      <c r="AC7" s="84">
        <f>3080410+770733</f>
        <v>3851143</v>
      </c>
      <c r="AD7" s="84">
        <v>173828548</v>
      </c>
      <c r="AE7" s="84">
        <f>2576097+39448327</f>
        <v>42024424</v>
      </c>
      <c r="AF7" s="84">
        <f>2375180+17205855</f>
        <v>19581035</v>
      </c>
      <c r="AG7" s="84">
        <f>38192+4802</f>
        <v>42994</v>
      </c>
      <c r="AH7" s="69">
        <f t="shared" si="0"/>
        <v>268790996.68000001</v>
      </c>
    </row>
    <row r="8" spans="1:34" x14ac:dyDescent="0.25">
      <c r="A8" s="21" t="s">
        <v>236</v>
      </c>
      <c r="B8" s="84"/>
      <c r="C8" s="84"/>
      <c r="D8" s="84"/>
      <c r="E8" s="84"/>
      <c r="F8" s="84">
        <v>2550000</v>
      </c>
      <c r="G8" s="84">
        <v>1000000</v>
      </c>
      <c r="H8" s="84"/>
      <c r="I8" s="84"/>
      <c r="J8" s="84"/>
      <c r="K8" s="84"/>
      <c r="L8" s="84">
        <v>5040000</v>
      </c>
      <c r="M8" s="84">
        <v>4850000</v>
      </c>
      <c r="N8" s="84"/>
      <c r="O8" s="84"/>
      <c r="P8" s="84"/>
      <c r="Q8" s="84">
        <v>6233</v>
      </c>
      <c r="R8" s="84">
        <v>430000</v>
      </c>
      <c r="S8" s="84"/>
      <c r="T8" s="84">
        <v>8950000</v>
      </c>
      <c r="U8" s="84"/>
      <c r="V8" s="84"/>
      <c r="W8" s="84">
        <v>2300000</v>
      </c>
      <c r="X8" s="84"/>
      <c r="Y8" s="84">
        <v>1000000</v>
      </c>
      <c r="Z8" s="84"/>
      <c r="AA8" s="84"/>
      <c r="AB8" s="84">
        <v>2500000</v>
      </c>
      <c r="AC8" s="84">
        <v>3630000</v>
      </c>
      <c r="AD8" s="84"/>
      <c r="AE8" s="84">
        <v>7500000</v>
      </c>
      <c r="AF8" s="84">
        <v>9000000</v>
      </c>
      <c r="AG8" s="84"/>
      <c r="AH8" s="69">
        <f t="shared" si="0"/>
        <v>48756233</v>
      </c>
    </row>
    <row r="9" spans="1:34" x14ac:dyDescent="0.25">
      <c r="A9" s="21" t="s">
        <v>32</v>
      </c>
      <c r="B9" s="84">
        <f>B10-B8-B7-B6-B5</f>
        <v>0</v>
      </c>
      <c r="C9" s="84">
        <f t="shared" ref="C9:AG9" si="1">C10-C8-C7-C6-C5</f>
        <v>0</v>
      </c>
      <c r="D9" s="84">
        <f t="shared" si="1"/>
        <v>0</v>
      </c>
      <c r="E9" s="84">
        <f t="shared" si="1"/>
        <v>0</v>
      </c>
      <c r="F9" s="84">
        <f t="shared" si="1"/>
        <v>0</v>
      </c>
      <c r="G9" s="84">
        <f t="shared" si="1"/>
        <v>0</v>
      </c>
      <c r="H9" s="84">
        <f t="shared" si="1"/>
        <v>2400000.0000000037</v>
      </c>
      <c r="I9" s="84">
        <f t="shared" si="1"/>
        <v>0</v>
      </c>
      <c r="J9" s="84">
        <f t="shared" si="1"/>
        <v>167799</v>
      </c>
      <c r="K9" s="84">
        <f t="shared" si="1"/>
        <v>-1</v>
      </c>
      <c r="L9" s="84">
        <f t="shared" si="1"/>
        <v>0</v>
      </c>
      <c r="M9" s="84">
        <f t="shared" si="1"/>
        <v>1681</v>
      </c>
      <c r="N9" s="84">
        <f t="shared" si="1"/>
        <v>0</v>
      </c>
      <c r="O9" s="84">
        <f t="shared" si="1"/>
        <v>0</v>
      </c>
      <c r="P9" s="84">
        <f t="shared" si="1"/>
        <v>2</v>
      </c>
      <c r="Q9" s="84">
        <f t="shared" si="1"/>
        <v>34684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1</v>
      </c>
      <c r="W9" s="84">
        <f t="shared" si="1"/>
        <v>0</v>
      </c>
      <c r="X9" s="84">
        <f t="shared" si="1"/>
        <v>0</v>
      </c>
      <c r="Y9" s="84">
        <f t="shared" si="1"/>
        <v>0</v>
      </c>
      <c r="Z9" s="84">
        <f t="shared" si="1"/>
        <v>0</v>
      </c>
      <c r="AA9" s="84">
        <f t="shared" si="1"/>
        <v>-1</v>
      </c>
      <c r="AB9" s="84">
        <f t="shared" si="1"/>
        <v>1383757</v>
      </c>
      <c r="AC9" s="84">
        <f t="shared" si="1"/>
        <v>0</v>
      </c>
      <c r="AD9" s="84">
        <f t="shared" si="1"/>
        <v>0</v>
      </c>
      <c r="AE9" s="84">
        <f t="shared" si="1"/>
        <v>0</v>
      </c>
      <c r="AF9" s="84">
        <f t="shared" si="1"/>
        <v>0</v>
      </c>
      <c r="AG9" s="84">
        <f t="shared" si="1"/>
        <v>0</v>
      </c>
      <c r="AH9" s="69">
        <f t="shared" si="0"/>
        <v>3987922.0000000037</v>
      </c>
    </row>
    <row r="10" spans="1:34" s="7" customFormat="1" x14ac:dyDescent="0.25">
      <c r="A10" s="3" t="s">
        <v>42</v>
      </c>
      <c r="B10" s="10">
        <v>5461852</v>
      </c>
      <c r="C10" s="10">
        <v>13814898</v>
      </c>
      <c r="D10" s="10">
        <v>45721576</v>
      </c>
      <c r="E10" s="10">
        <v>73680051</v>
      </c>
      <c r="F10" s="10">
        <v>24900100</v>
      </c>
      <c r="G10" s="10">
        <v>19602727</v>
      </c>
      <c r="H10" s="10">
        <v>68362481.170000002</v>
      </c>
      <c r="I10" s="10">
        <v>3592140</v>
      </c>
      <c r="J10" s="10">
        <v>11082913</v>
      </c>
      <c r="K10" s="10">
        <v>17073070</v>
      </c>
      <c r="L10" s="10">
        <v>38768498</v>
      </c>
      <c r="M10" s="10">
        <v>83588142</v>
      </c>
      <c r="N10" s="10">
        <v>28079096</v>
      </c>
      <c r="O10" s="10">
        <v>3300049</v>
      </c>
      <c r="P10" s="10">
        <v>18343987</v>
      </c>
      <c r="Q10" s="10">
        <v>4384410</v>
      </c>
      <c r="R10" s="10">
        <v>13148114</v>
      </c>
      <c r="S10" s="10">
        <v>12281159</v>
      </c>
      <c r="T10" s="10">
        <v>70228854</v>
      </c>
      <c r="U10" s="10">
        <v>4959269</v>
      </c>
      <c r="V10" s="10">
        <v>3071228</v>
      </c>
      <c r="W10" s="10">
        <v>22500271</v>
      </c>
      <c r="X10" s="10">
        <v>11176431</v>
      </c>
      <c r="Y10" s="10">
        <v>15066128</v>
      </c>
      <c r="Z10" s="10">
        <v>26945290</v>
      </c>
      <c r="AA10" s="10">
        <v>20899716</v>
      </c>
      <c r="AB10" s="10">
        <v>35966477</v>
      </c>
      <c r="AC10" s="10">
        <v>36612844</v>
      </c>
      <c r="AD10" s="10">
        <v>362061784</v>
      </c>
      <c r="AE10" s="10">
        <v>71536967</v>
      </c>
      <c r="AF10" s="10">
        <v>68204541</v>
      </c>
      <c r="AG10" s="10">
        <v>11168037</v>
      </c>
      <c r="AH10" s="68">
        <f t="shared" si="0"/>
        <v>1245583100.1700001</v>
      </c>
    </row>
    <row r="11" spans="1:34" s="7" customFormat="1" x14ac:dyDescent="0.25">
      <c r="A11" s="3" t="s">
        <v>237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68"/>
    </row>
    <row r="12" spans="1:34" x14ac:dyDescent="0.25">
      <c r="A12" s="21" t="s">
        <v>238</v>
      </c>
      <c r="B12" s="84">
        <v>1038070</v>
      </c>
      <c r="C12" s="84">
        <v>3205415</v>
      </c>
      <c r="D12" s="84"/>
      <c r="E12" s="84">
        <v>50678506</v>
      </c>
      <c r="F12" s="84">
        <v>7647807</v>
      </c>
      <c r="G12" s="84">
        <v>11058837</v>
      </c>
      <c r="H12" s="84">
        <v>51212559.810000002</v>
      </c>
      <c r="I12" s="84">
        <v>849830</v>
      </c>
      <c r="J12" s="84"/>
      <c r="K12" s="84">
        <v>10648007</v>
      </c>
      <c r="L12" s="84">
        <v>30991969</v>
      </c>
      <c r="M12" s="84">
        <v>72204646</v>
      </c>
      <c r="N12" s="84">
        <v>25221633</v>
      </c>
      <c r="O12" s="84">
        <v>1979728</v>
      </c>
      <c r="P12" s="84">
        <v>8262160</v>
      </c>
      <c r="Q12" s="84">
        <v>3749843</v>
      </c>
      <c r="R12" s="84">
        <v>2999034</v>
      </c>
      <c r="S12" s="84">
        <v>4485290</v>
      </c>
      <c r="T12" s="84">
        <v>6750972.7465744503</v>
      </c>
      <c r="U12" s="84">
        <v>2081264</v>
      </c>
      <c r="V12" s="84">
        <v>1491447</v>
      </c>
      <c r="W12" s="84">
        <v>18590522</v>
      </c>
      <c r="X12" s="84">
        <v>9101650</v>
      </c>
      <c r="Y12" s="84">
        <v>11333047</v>
      </c>
      <c r="Z12" s="84">
        <v>28274850</v>
      </c>
      <c r="AA12" s="84"/>
      <c r="AB12" s="84">
        <v>27510256</v>
      </c>
      <c r="AC12" s="84">
        <v>31144582</v>
      </c>
      <c r="AD12" s="84"/>
      <c r="AE12" s="84">
        <v>221689096</v>
      </c>
      <c r="AF12" s="84"/>
      <c r="AG12" s="84">
        <v>3725060</v>
      </c>
      <c r="AH12" s="69">
        <f t="shared" ref="AH12:AH17" si="2">SUM(B12:AG12)</f>
        <v>647926081.55657446</v>
      </c>
    </row>
    <row r="13" spans="1:34" x14ac:dyDescent="0.25">
      <c r="A13" s="21" t="s">
        <v>239</v>
      </c>
      <c r="B13" s="84">
        <v>3261650</v>
      </c>
      <c r="C13" s="84">
        <v>8702251</v>
      </c>
      <c r="D13" s="84"/>
      <c r="E13" s="84">
        <v>163265800</v>
      </c>
      <c r="F13" s="84">
        <v>47135914</v>
      </c>
      <c r="G13" s="84">
        <v>93868113</v>
      </c>
      <c r="H13" s="84">
        <v>67886416.510000005</v>
      </c>
      <c r="I13" s="84">
        <v>2626981</v>
      </c>
      <c r="J13" s="84"/>
      <c r="K13" s="84">
        <v>37078812</v>
      </c>
      <c r="L13" s="84">
        <v>126555556</v>
      </c>
      <c r="M13" s="84">
        <v>226715577</v>
      </c>
      <c r="N13" s="84">
        <v>85736359</v>
      </c>
      <c r="O13" s="84">
        <v>6756968</v>
      </c>
      <c r="P13" s="84">
        <v>21911075</v>
      </c>
      <c r="Q13" s="84">
        <v>25056915</v>
      </c>
      <c r="R13" s="84">
        <v>4872586</v>
      </c>
      <c r="S13" s="84">
        <v>9366410</v>
      </c>
      <c r="T13" s="84">
        <v>288038632</v>
      </c>
      <c r="U13" s="84">
        <v>3044011</v>
      </c>
      <c r="V13" s="84">
        <v>4411940</v>
      </c>
      <c r="W13" s="84">
        <v>105265756</v>
      </c>
      <c r="X13" s="84">
        <v>15907007</v>
      </c>
      <c r="Y13" s="84">
        <v>52404547</v>
      </c>
      <c r="Z13" s="84">
        <v>60503030</v>
      </c>
      <c r="AA13" s="84"/>
      <c r="AB13" s="84">
        <v>33780231</v>
      </c>
      <c r="AC13" s="84">
        <v>124476329</v>
      </c>
      <c r="AD13" s="84"/>
      <c r="AE13" s="84">
        <v>14476983</v>
      </c>
      <c r="AF13" s="84"/>
      <c r="AG13" s="84">
        <v>29623581</v>
      </c>
      <c r="AH13" s="69">
        <f t="shared" si="2"/>
        <v>1662729430.51</v>
      </c>
    </row>
    <row r="14" spans="1:34" s="35" customFormat="1" x14ac:dyDescent="0.25">
      <c r="A14" s="14" t="s">
        <v>240</v>
      </c>
      <c r="B14" s="34">
        <f t="shared" ref="B14:C14" si="3">B12+B13</f>
        <v>4299720</v>
      </c>
      <c r="C14" s="34">
        <f t="shared" si="3"/>
        <v>11907666</v>
      </c>
      <c r="D14" s="34">
        <v>68737656</v>
      </c>
      <c r="E14" s="34">
        <f>E12+E13</f>
        <v>213944306</v>
      </c>
      <c r="F14" s="34">
        <f t="shared" ref="F14:AG14" si="4">F12+F13</f>
        <v>54783721</v>
      </c>
      <c r="G14" s="34">
        <f t="shared" si="4"/>
        <v>104926950</v>
      </c>
      <c r="H14" s="34">
        <f t="shared" si="4"/>
        <v>119098976.32000001</v>
      </c>
      <c r="I14" s="34">
        <f t="shared" si="4"/>
        <v>3476811</v>
      </c>
      <c r="J14" s="34">
        <v>50392062</v>
      </c>
      <c r="K14" s="34">
        <f t="shared" si="4"/>
        <v>47726819</v>
      </c>
      <c r="L14" s="34">
        <f t="shared" si="4"/>
        <v>157547525</v>
      </c>
      <c r="M14" s="34">
        <f t="shared" si="4"/>
        <v>298920223</v>
      </c>
      <c r="N14" s="34">
        <f t="shared" si="4"/>
        <v>110957992</v>
      </c>
      <c r="O14" s="34">
        <f t="shared" si="4"/>
        <v>8736696</v>
      </c>
      <c r="P14" s="34">
        <f t="shared" si="4"/>
        <v>30173235</v>
      </c>
      <c r="Q14" s="34">
        <f t="shared" si="4"/>
        <v>28806758</v>
      </c>
      <c r="R14" s="34">
        <f t="shared" si="4"/>
        <v>7871620</v>
      </c>
      <c r="S14" s="34">
        <f t="shared" si="4"/>
        <v>13851700</v>
      </c>
      <c r="T14" s="34">
        <f t="shared" si="4"/>
        <v>294789604.74657446</v>
      </c>
      <c r="U14" s="34">
        <f t="shared" si="4"/>
        <v>5125275</v>
      </c>
      <c r="V14" s="34">
        <f t="shared" si="4"/>
        <v>5903387</v>
      </c>
      <c r="W14" s="34">
        <f t="shared" si="4"/>
        <v>123856278</v>
      </c>
      <c r="X14" s="34">
        <f t="shared" si="4"/>
        <v>25008657</v>
      </c>
      <c r="Y14" s="34">
        <f t="shared" si="4"/>
        <v>63737594</v>
      </c>
      <c r="Z14" s="34">
        <f t="shared" si="4"/>
        <v>88777880</v>
      </c>
      <c r="AA14" s="34">
        <v>103130039</v>
      </c>
      <c r="AB14" s="34">
        <f>AB12+AB13</f>
        <v>61290487</v>
      </c>
      <c r="AC14" s="34">
        <f t="shared" si="4"/>
        <v>155620911</v>
      </c>
      <c r="AD14" s="34">
        <v>641958758</v>
      </c>
      <c r="AE14" s="34">
        <f t="shared" si="4"/>
        <v>236166079</v>
      </c>
      <c r="AF14" s="34">
        <v>326192755</v>
      </c>
      <c r="AG14" s="34">
        <f t="shared" si="4"/>
        <v>33348641</v>
      </c>
      <c r="AH14" s="70">
        <f t="shared" si="2"/>
        <v>3501066782.0665746</v>
      </c>
    </row>
    <row r="15" spans="1:34" x14ac:dyDescent="0.25">
      <c r="A15" s="21" t="s">
        <v>241</v>
      </c>
      <c r="B15" s="84"/>
      <c r="C15" s="84"/>
      <c r="D15" s="84">
        <v>144161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>
        <v>44987</v>
      </c>
      <c r="R15" s="84"/>
      <c r="S15" s="84"/>
      <c r="T15" s="84">
        <v>366630</v>
      </c>
      <c r="U15" s="84"/>
      <c r="V15" s="84"/>
      <c r="W15" s="84"/>
      <c r="X15" s="84"/>
      <c r="Y15" s="84"/>
      <c r="Z15" s="84"/>
      <c r="AA15" s="84"/>
      <c r="AB15" s="84"/>
      <c r="AC15" s="84"/>
      <c r="AD15" s="84">
        <v>3208727</v>
      </c>
      <c r="AE15" s="84">
        <v>1472663</v>
      </c>
      <c r="AF15" s="84">
        <v>1935787</v>
      </c>
      <c r="AG15" s="84"/>
      <c r="AH15" s="69">
        <f t="shared" si="2"/>
        <v>7172955</v>
      </c>
    </row>
    <row r="16" spans="1:34" x14ac:dyDescent="0.25">
      <c r="A16" s="21" t="s">
        <v>242</v>
      </c>
      <c r="B16" s="84">
        <v>47134</v>
      </c>
      <c r="C16" s="84">
        <v>906295</v>
      </c>
      <c r="D16" s="84">
        <v>2228070</v>
      </c>
      <c r="E16" s="84">
        <v>4289460</v>
      </c>
      <c r="F16" s="84">
        <v>198264</v>
      </c>
      <c r="G16" s="84">
        <v>708251</v>
      </c>
      <c r="H16" s="84">
        <v>3002213.25</v>
      </c>
      <c r="I16" s="84">
        <v>130201</v>
      </c>
      <c r="J16" s="84">
        <v>374403</v>
      </c>
      <c r="K16" s="84">
        <v>956613</v>
      </c>
      <c r="L16" s="84">
        <v>2827677</v>
      </c>
      <c r="M16" s="84">
        <v>6381648</v>
      </c>
      <c r="N16" s="84">
        <v>827334</v>
      </c>
      <c r="O16" s="84">
        <v>69927</v>
      </c>
      <c r="P16" s="84">
        <v>380517</v>
      </c>
      <c r="Q16" s="84">
        <v>239615</v>
      </c>
      <c r="R16" s="84">
        <v>297619</v>
      </c>
      <c r="S16" s="84">
        <v>418810</v>
      </c>
      <c r="T16" s="84">
        <v>3690300</v>
      </c>
      <c r="U16" s="84">
        <v>36302</v>
      </c>
      <c r="V16" s="84">
        <v>69653</v>
      </c>
      <c r="W16" s="84">
        <v>419982</v>
      </c>
      <c r="X16" s="84">
        <v>464593</v>
      </c>
      <c r="Y16" s="84">
        <v>254375</v>
      </c>
      <c r="Z16" s="84">
        <v>1076280</v>
      </c>
      <c r="AA16" s="84">
        <v>458561</v>
      </c>
      <c r="AB16" s="84">
        <v>940662</v>
      </c>
      <c r="AC16" s="84">
        <v>2155266</v>
      </c>
      <c r="AD16" s="84">
        <v>4404107</v>
      </c>
      <c r="AE16" s="84">
        <v>5631261</v>
      </c>
      <c r="AF16" s="84">
        <v>2580800</v>
      </c>
      <c r="AG16" s="84">
        <v>333406</v>
      </c>
      <c r="AH16" s="69">
        <f t="shared" si="2"/>
        <v>46799599.25</v>
      </c>
    </row>
    <row r="17" spans="1:34" x14ac:dyDescent="0.25">
      <c r="A17" s="21" t="s">
        <v>243</v>
      </c>
      <c r="B17" s="84"/>
      <c r="C17" s="84"/>
      <c r="D17" s="84">
        <v>63377</v>
      </c>
      <c r="E17" s="84">
        <v>722266</v>
      </c>
      <c r="F17" s="84"/>
      <c r="G17" s="84">
        <v>2079940</v>
      </c>
      <c r="H17" s="84">
        <v>412881.21</v>
      </c>
      <c r="I17" s="84"/>
      <c r="J17" s="84">
        <v>350697</v>
      </c>
      <c r="K17" s="84"/>
      <c r="L17" s="84">
        <v>674386</v>
      </c>
      <c r="M17" s="84">
        <v>4636821</v>
      </c>
      <c r="N17" s="84">
        <v>523900</v>
      </c>
      <c r="O17" s="84"/>
      <c r="P17" s="84"/>
      <c r="Q17" s="84">
        <v>196663</v>
      </c>
      <c r="R17" s="84"/>
      <c r="S17" s="84"/>
      <c r="T17" s="84"/>
      <c r="U17" s="84"/>
      <c r="V17" s="84">
        <v>64726</v>
      </c>
      <c r="W17" s="84">
        <v>372735</v>
      </c>
      <c r="X17" s="84"/>
      <c r="Y17" s="84">
        <v>390379</v>
      </c>
      <c r="Z17" s="84">
        <v>197062</v>
      </c>
      <c r="AA17" s="84">
        <v>103444</v>
      </c>
      <c r="AB17" s="84">
        <v>435781</v>
      </c>
      <c r="AC17" s="84">
        <v>734545</v>
      </c>
      <c r="AD17" s="84">
        <v>2873198</v>
      </c>
      <c r="AE17" s="84"/>
      <c r="AF17" s="84"/>
      <c r="AG17" s="84">
        <v>9430</v>
      </c>
      <c r="AH17" s="69">
        <f t="shared" si="2"/>
        <v>14842231.210000001</v>
      </c>
    </row>
    <row r="18" spans="1:34" x14ac:dyDescent="0.25">
      <c r="A18" s="14" t="s">
        <v>244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69"/>
    </row>
    <row r="19" spans="1:34" x14ac:dyDescent="0.25">
      <c r="A19" s="21" t="s">
        <v>245</v>
      </c>
      <c r="B19" s="84">
        <v>36319</v>
      </c>
      <c r="C19" s="84">
        <v>214596</v>
      </c>
      <c r="D19" s="84">
        <v>55739460</v>
      </c>
      <c r="E19" s="84">
        <v>5187823</v>
      </c>
      <c r="F19" s="84">
        <v>311562</v>
      </c>
      <c r="G19" s="84">
        <v>305400</v>
      </c>
      <c r="H19" s="84">
        <v>17868590.43</v>
      </c>
      <c r="I19" s="84">
        <v>61351</v>
      </c>
      <c r="J19" s="84">
        <v>570393</v>
      </c>
      <c r="K19" s="84">
        <v>651104</v>
      </c>
      <c r="L19" s="84">
        <v>3227707</v>
      </c>
      <c r="M19" s="84">
        <v>1133869</v>
      </c>
      <c r="N19" s="84">
        <v>352045</v>
      </c>
      <c r="O19" s="84">
        <v>142878</v>
      </c>
      <c r="P19" s="84">
        <v>123743</v>
      </c>
      <c r="Q19" s="84">
        <v>314730</v>
      </c>
      <c r="R19" s="84">
        <v>470851</v>
      </c>
      <c r="S19" s="84">
        <v>198693</v>
      </c>
      <c r="T19" s="84">
        <v>6674732</v>
      </c>
      <c r="U19" s="84">
        <v>63100</v>
      </c>
      <c r="V19" s="84">
        <v>161279</v>
      </c>
      <c r="W19" s="84">
        <v>2300843</v>
      </c>
      <c r="X19" s="84">
        <v>374427</v>
      </c>
      <c r="Y19" s="84">
        <v>366651</v>
      </c>
      <c r="Z19" s="84">
        <v>695044</v>
      </c>
      <c r="AA19" s="84">
        <v>340946</v>
      </c>
      <c r="AB19" s="84">
        <v>11715357</v>
      </c>
      <c r="AC19" s="84">
        <v>2712594</v>
      </c>
      <c r="AD19" s="84">
        <v>98308885</v>
      </c>
      <c r="AE19" s="84">
        <v>24909814</v>
      </c>
      <c r="AF19" s="84">
        <v>29613162</v>
      </c>
      <c r="AG19" s="84">
        <v>729653</v>
      </c>
      <c r="AH19" s="69">
        <f t="shared" ref="AH19:AH28" si="5">SUM(B19:AG19)</f>
        <v>265877601.43000001</v>
      </c>
    </row>
    <row r="20" spans="1:34" x14ac:dyDescent="0.25">
      <c r="A20" s="21" t="s">
        <v>246</v>
      </c>
      <c r="B20" s="84">
        <v>381591</v>
      </c>
      <c r="C20" s="84">
        <v>941374</v>
      </c>
      <c r="D20" s="84">
        <v>55583248</v>
      </c>
      <c r="E20" s="84">
        <v>34044453</v>
      </c>
      <c r="F20" s="84">
        <v>11415122</v>
      </c>
      <c r="G20" s="84">
        <v>11416444</v>
      </c>
      <c r="H20" s="84">
        <v>10099489.109999999</v>
      </c>
      <c r="I20" s="84">
        <v>610038</v>
      </c>
      <c r="J20" s="84">
        <v>10773035</v>
      </c>
      <c r="K20" s="84">
        <v>3823832</v>
      </c>
      <c r="L20" s="84">
        <v>22990477</v>
      </c>
      <c r="M20" s="84">
        <v>81199838</v>
      </c>
      <c r="N20" s="84">
        <v>25765267</v>
      </c>
      <c r="O20" s="84">
        <v>491645</v>
      </c>
      <c r="P20" s="84">
        <v>2703721</v>
      </c>
      <c r="Q20" s="84">
        <v>1603739</v>
      </c>
      <c r="R20" s="84">
        <v>324898</v>
      </c>
      <c r="S20" s="84">
        <v>1428944</v>
      </c>
      <c r="T20" s="84">
        <v>90981101</v>
      </c>
      <c r="U20" s="84">
        <v>760499</v>
      </c>
      <c r="V20" s="84">
        <v>589082</v>
      </c>
      <c r="W20" s="84">
        <v>22924552</v>
      </c>
      <c r="X20" s="84">
        <v>1834281</v>
      </c>
      <c r="Y20" s="84">
        <v>9137009</v>
      </c>
      <c r="Z20" s="84">
        <v>18272854</v>
      </c>
      <c r="AA20" s="84">
        <v>4547896</v>
      </c>
      <c r="AB20" s="84">
        <v>11562764</v>
      </c>
      <c r="AC20" s="84">
        <v>9739439</v>
      </c>
      <c r="AD20" s="84">
        <v>106213207</v>
      </c>
      <c r="AE20" s="84">
        <v>125669900</v>
      </c>
      <c r="AF20" s="84">
        <v>55851051</v>
      </c>
      <c r="AG20" s="84">
        <v>13810315</v>
      </c>
      <c r="AH20" s="69">
        <f t="shared" si="5"/>
        <v>747491105.11000001</v>
      </c>
    </row>
    <row r="21" spans="1:34" s="35" customFormat="1" x14ac:dyDescent="0.25">
      <c r="A21" s="14" t="s">
        <v>247</v>
      </c>
      <c r="B21" s="34">
        <f>B19+B20</f>
        <v>417910</v>
      </c>
      <c r="C21" s="34">
        <f t="shared" ref="C21:AG21" si="6">C19+C20</f>
        <v>1155970</v>
      </c>
      <c r="D21" s="34">
        <f t="shared" si="6"/>
        <v>111322708</v>
      </c>
      <c r="E21" s="34">
        <f t="shared" si="6"/>
        <v>39232276</v>
      </c>
      <c r="F21" s="34">
        <f t="shared" si="6"/>
        <v>11726684</v>
      </c>
      <c r="G21" s="34">
        <f t="shared" si="6"/>
        <v>11721844</v>
      </c>
      <c r="H21" s="34">
        <f t="shared" si="6"/>
        <v>27968079.539999999</v>
      </c>
      <c r="I21" s="34">
        <f t="shared" si="6"/>
        <v>671389</v>
      </c>
      <c r="J21" s="34">
        <f t="shared" si="6"/>
        <v>11343428</v>
      </c>
      <c r="K21" s="34">
        <f t="shared" si="6"/>
        <v>4474936</v>
      </c>
      <c r="L21" s="34">
        <f t="shared" si="6"/>
        <v>26218184</v>
      </c>
      <c r="M21" s="34">
        <f t="shared" si="6"/>
        <v>82333707</v>
      </c>
      <c r="N21" s="34">
        <f t="shared" si="6"/>
        <v>26117312</v>
      </c>
      <c r="O21" s="34">
        <f t="shared" si="6"/>
        <v>634523</v>
      </c>
      <c r="P21" s="34">
        <f t="shared" si="6"/>
        <v>2827464</v>
      </c>
      <c r="Q21" s="34">
        <f t="shared" si="6"/>
        <v>1918469</v>
      </c>
      <c r="R21" s="34">
        <f t="shared" si="6"/>
        <v>795749</v>
      </c>
      <c r="S21" s="34">
        <f t="shared" si="6"/>
        <v>1627637</v>
      </c>
      <c r="T21" s="34">
        <f t="shared" si="6"/>
        <v>97655833</v>
      </c>
      <c r="U21" s="34">
        <f t="shared" si="6"/>
        <v>823599</v>
      </c>
      <c r="V21" s="34">
        <f t="shared" si="6"/>
        <v>750361</v>
      </c>
      <c r="W21" s="34">
        <f t="shared" si="6"/>
        <v>25225395</v>
      </c>
      <c r="X21" s="34">
        <f t="shared" si="6"/>
        <v>2208708</v>
      </c>
      <c r="Y21" s="34">
        <f t="shared" si="6"/>
        <v>9503660</v>
      </c>
      <c r="Z21" s="34">
        <f t="shared" si="6"/>
        <v>18967898</v>
      </c>
      <c r="AA21" s="34">
        <f t="shared" si="6"/>
        <v>4888842</v>
      </c>
      <c r="AB21" s="34">
        <f t="shared" si="6"/>
        <v>23278121</v>
      </c>
      <c r="AC21" s="34">
        <f t="shared" si="6"/>
        <v>12452033</v>
      </c>
      <c r="AD21" s="34">
        <f t="shared" si="6"/>
        <v>204522092</v>
      </c>
      <c r="AE21" s="34">
        <f t="shared" si="6"/>
        <v>150579714</v>
      </c>
      <c r="AF21" s="34">
        <f t="shared" si="6"/>
        <v>85464213</v>
      </c>
      <c r="AG21" s="34">
        <f t="shared" si="6"/>
        <v>14539968</v>
      </c>
      <c r="AH21" s="70">
        <f t="shared" si="5"/>
        <v>1013368706.54</v>
      </c>
    </row>
    <row r="22" spans="1:34" x14ac:dyDescent="0.25">
      <c r="A22" s="21" t="s">
        <v>248</v>
      </c>
      <c r="B22" s="84">
        <v>2689663</v>
      </c>
      <c r="C22" s="84">
        <v>4824340</v>
      </c>
      <c r="D22" s="84">
        <v>133692542</v>
      </c>
      <c r="E22" s="84">
        <v>143520392</v>
      </c>
      <c r="F22" s="84">
        <v>46059069</v>
      </c>
      <c r="G22" s="84">
        <v>77372809</v>
      </c>
      <c r="H22" s="84">
        <v>74436457.349999994</v>
      </c>
      <c r="I22" s="84">
        <v>2107714</v>
      </c>
      <c r="J22" s="84">
        <v>39650930</v>
      </c>
      <c r="K22" s="84">
        <v>29277707</v>
      </c>
      <c r="L22" s="84">
        <v>108953166</v>
      </c>
      <c r="M22" s="84">
        <v>244530288</v>
      </c>
      <c r="N22" s="84">
        <v>86157732</v>
      </c>
      <c r="O22" s="84">
        <v>4270934</v>
      </c>
      <c r="P22" s="84">
        <v>18145816</v>
      </c>
      <c r="Q22" s="84">
        <v>22125016</v>
      </c>
      <c r="R22" s="84">
        <v>2161394</v>
      </c>
      <c r="S22" s="84">
        <v>5777562</v>
      </c>
      <c r="T22" s="84">
        <v>308124580</v>
      </c>
      <c r="U22" s="84">
        <v>1504216</v>
      </c>
      <c r="V22" s="84">
        <v>3506590</v>
      </c>
      <c r="W22" s="84">
        <v>109672910</v>
      </c>
      <c r="X22" s="84">
        <v>8708271</v>
      </c>
      <c r="Y22" s="84">
        <v>47492261</v>
      </c>
      <c r="Z22" s="84">
        <v>57346297</v>
      </c>
      <c r="AA22" s="84">
        <v>76935656</v>
      </c>
      <c r="AB22" s="84">
        <v>17814373</v>
      </c>
      <c r="AC22" s="84">
        <v>101308484</v>
      </c>
      <c r="AD22" s="84">
        <v>367990487</v>
      </c>
      <c r="AE22" s="84">
        <v>264868763</v>
      </c>
      <c r="AF22" s="84">
        <v>269148009</v>
      </c>
      <c r="AG22" s="84">
        <v>30143719</v>
      </c>
      <c r="AH22" s="69">
        <f t="shared" si="5"/>
        <v>2710318147.3499999</v>
      </c>
    </row>
    <row r="23" spans="1:34" x14ac:dyDescent="0.25">
      <c r="A23" s="21" t="s">
        <v>60</v>
      </c>
      <c r="B23" s="84">
        <v>963458</v>
      </c>
      <c r="C23" s="84">
        <v>4876301</v>
      </c>
      <c r="D23" s="84">
        <v>3081854</v>
      </c>
      <c r="E23" s="84">
        <v>40987865</v>
      </c>
      <c r="F23" s="84">
        <v>9979884</v>
      </c>
      <c r="G23" s="84">
        <v>22461449</v>
      </c>
      <c r="H23" s="84">
        <v>7683211.7999999998</v>
      </c>
      <c r="I23" s="84">
        <v>1079121</v>
      </c>
      <c r="J23" s="84">
        <v>11726746</v>
      </c>
      <c r="K23" s="84">
        <v>11978567</v>
      </c>
      <c r="L23" s="84">
        <v>39546108</v>
      </c>
      <c r="M23" s="84">
        <v>64153969</v>
      </c>
      <c r="N23" s="84">
        <v>24189710</v>
      </c>
      <c r="O23" s="84">
        <v>3107531</v>
      </c>
      <c r="P23" s="84">
        <v>7080493</v>
      </c>
      <c r="Q23" s="84">
        <v>4795419</v>
      </c>
      <c r="R23" s="84">
        <v>3365550</v>
      </c>
      <c r="S23" s="84">
        <v>6118879</v>
      </c>
      <c r="T23" s="84">
        <v>62119291</v>
      </c>
      <c r="U23" s="84">
        <v>1912197</v>
      </c>
      <c r="V23" s="84">
        <v>1363732</v>
      </c>
      <c r="W23" s="84">
        <v>17701209</v>
      </c>
      <c r="X23" s="84">
        <v>9445004</v>
      </c>
      <c r="Y23" s="84">
        <v>11327619</v>
      </c>
      <c r="Z23" s="84">
        <v>24727533</v>
      </c>
      <c r="AA23" s="84">
        <v>10745513</v>
      </c>
      <c r="AB23" s="84">
        <v>32164201</v>
      </c>
      <c r="AC23" s="84">
        <v>33041427</v>
      </c>
      <c r="AD23" s="84">
        <v>140469182</v>
      </c>
      <c r="AE23" s="84">
        <v>67101113</v>
      </c>
      <c r="AF23" s="84">
        <v>78821005</v>
      </c>
      <c r="AG23" s="84">
        <v>6919689</v>
      </c>
      <c r="AH23" s="69">
        <f t="shared" si="5"/>
        <v>765034830.79999995</v>
      </c>
    </row>
    <row r="24" spans="1:34" s="35" customFormat="1" x14ac:dyDescent="0.25">
      <c r="A24" s="14" t="s">
        <v>249</v>
      </c>
      <c r="B24" s="34">
        <f>B22+B23</f>
        <v>3653121</v>
      </c>
      <c r="C24" s="34">
        <f t="shared" ref="C24:AG24" si="7">C22+C23</f>
        <v>9700641</v>
      </c>
      <c r="D24" s="34">
        <f t="shared" si="7"/>
        <v>136774396</v>
      </c>
      <c r="E24" s="34">
        <f t="shared" si="7"/>
        <v>184508257</v>
      </c>
      <c r="F24" s="34">
        <f t="shared" si="7"/>
        <v>56038953</v>
      </c>
      <c r="G24" s="34">
        <f t="shared" si="7"/>
        <v>99834258</v>
      </c>
      <c r="H24" s="34">
        <f t="shared" si="7"/>
        <v>82119669.149999991</v>
      </c>
      <c r="I24" s="34">
        <f t="shared" si="7"/>
        <v>3186835</v>
      </c>
      <c r="J24" s="34">
        <f t="shared" si="7"/>
        <v>51377676</v>
      </c>
      <c r="K24" s="34">
        <f t="shared" si="7"/>
        <v>41256274</v>
      </c>
      <c r="L24" s="34">
        <f t="shared" si="7"/>
        <v>148499274</v>
      </c>
      <c r="M24" s="34">
        <f t="shared" si="7"/>
        <v>308684257</v>
      </c>
      <c r="N24" s="34">
        <f t="shared" si="7"/>
        <v>110347442</v>
      </c>
      <c r="O24" s="34">
        <f t="shared" si="7"/>
        <v>7378465</v>
      </c>
      <c r="P24" s="34">
        <f t="shared" si="7"/>
        <v>25226309</v>
      </c>
      <c r="Q24" s="34">
        <f t="shared" si="7"/>
        <v>26920435</v>
      </c>
      <c r="R24" s="34">
        <f t="shared" si="7"/>
        <v>5526944</v>
      </c>
      <c r="S24" s="34">
        <f t="shared" si="7"/>
        <v>11896441</v>
      </c>
      <c r="T24" s="34">
        <f t="shared" si="7"/>
        <v>370243871</v>
      </c>
      <c r="U24" s="34">
        <f t="shared" si="7"/>
        <v>3416413</v>
      </c>
      <c r="V24" s="34">
        <f t="shared" si="7"/>
        <v>4870322</v>
      </c>
      <c r="W24" s="34">
        <f t="shared" si="7"/>
        <v>127374119</v>
      </c>
      <c r="X24" s="34">
        <f t="shared" si="7"/>
        <v>18153275</v>
      </c>
      <c r="Y24" s="34">
        <f t="shared" si="7"/>
        <v>58819880</v>
      </c>
      <c r="Z24" s="34">
        <f t="shared" si="7"/>
        <v>82073830</v>
      </c>
      <c r="AA24" s="34">
        <f t="shared" si="7"/>
        <v>87681169</v>
      </c>
      <c r="AB24" s="34">
        <f t="shared" si="7"/>
        <v>49978574</v>
      </c>
      <c r="AC24" s="34">
        <f t="shared" si="7"/>
        <v>134349911</v>
      </c>
      <c r="AD24" s="34">
        <f t="shared" si="7"/>
        <v>508459669</v>
      </c>
      <c r="AE24" s="34">
        <f t="shared" si="7"/>
        <v>331969876</v>
      </c>
      <c r="AF24" s="34">
        <f t="shared" si="7"/>
        <v>347969014</v>
      </c>
      <c r="AG24" s="34">
        <f t="shared" si="7"/>
        <v>37063408</v>
      </c>
      <c r="AH24" s="70">
        <f t="shared" si="5"/>
        <v>3475352978.1500001</v>
      </c>
    </row>
    <row r="25" spans="1:34" s="7" customFormat="1" x14ac:dyDescent="0.25">
      <c r="A25" s="3" t="s">
        <v>250</v>
      </c>
      <c r="B25" s="10">
        <f>B21-B24</f>
        <v>-3235211</v>
      </c>
      <c r="C25" s="10">
        <f t="shared" ref="C25:AG25" si="8">C21-C24</f>
        <v>-8544671</v>
      </c>
      <c r="D25" s="10">
        <f t="shared" si="8"/>
        <v>-25451688</v>
      </c>
      <c r="E25" s="10">
        <f t="shared" si="8"/>
        <v>-145275981</v>
      </c>
      <c r="F25" s="10">
        <f t="shared" si="8"/>
        <v>-44312269</v>
      </c>
      <c r="G25" s="10">
        <f t="shared" si="8"/>
        <v>-88112414</v>
      </c>
      <c r="H25" s="10">
        <f t="shared" si="8"/>
        <v>-54151589.609999992</v>
      </c>
      <c r="I25" s="10">
        <f t="shared" si="8"/>
        <v>-2515446</v>
      </c>
      <c r="J25" s="10">
        <f t="shared" si="8"/>
        <v>-40034248</v>
      </c>
      <c r="K25" s="10">
        <f t="shared" si="8"/>
        <v>-36781338</v>
      </c>
      <c r="L25" s="10">
        <f t="shared" si="8"/>
        <v>-122281090</v>
      </c>
      <c r="M25" s="10">
        <f t="shared" si="8"/>
        <v>-226350550</v>
      </c>
      <c r="N25" s="10">
        <f t="shared" si="8"/>
        <v>-84230130</v>
      </c>
      <c r="O25" s="10">
        <f t="shared" si="8"/>
        <v>-6743942</v>
      </c>
      <c r="P25" s="10">
        <f t="shared" si="8"/>
        <v>-22398845</v>
      </c>
      <c r="Q25" s="10">
        <f t="shared" si="8"/>
        <v>-25001966</v>
      </c>
      <c r="R25" s="10">
        <f t="shared" si="8"/>
        <v>-4731195</v>
      </c>
      <c r="S25" s="10">
        <f t="shared" si="8"/>
        <v>-10268804</v>
      </c>
      <c r="T25" s="10">
        <f t="shared" si="8"/>
        <v>-272588038</v>
      </c>
      <c r="U25" s="10">
        <f t="shared" si="8"/>
        <v>-2592814</v>
      </c>
      <c r="V25" s="10">
        <f t="shared" si="8"/>
        <v>-4119961</v>
      </c>
      <c r="W25" s="10">
        <f t="shared" si="8"/>
        <v>-102148724</v>
      </c>
      <c r="X25" s="10">
        <f t="shared" si="8"/>
        <v>-15944567</v>
      </c>
      <c r="Y25" s="10">
        <f t="shared" si="8"/>
        <v>-49316220</v>
      </c>
      <c r="Z25" s="10">
        <f t="shared" si="8"/>
        <v>-63105932</v>
      </c>
      <c r="AA25" s="10">
        <f t="shared" si="8"/>
        <v>-82792327</v>
      </c>
      <c r="AB25" s="10">
        <f t="shared" si="8"/>
        <v>-26700453</v>
      </c>
      <c r="AC25" s="10">
        <f t="shared" si="8"/>
        <v>-121897878</v>
      </c>
      <c r="AD25" s="10">
        <f t="shared" si="8"/>
        <v>-303937577</v>
      </c>
      <c r="AE25" s="10">
        <f t="shared" si="8"/>
        <v>-181390162</v>
      </c>
      <c r="AF25" s="10">
        <f t="shared" si="8"/>
        <v>-262504801</v>
      </c>
      <c r="AG25" s="10">
        <f t="shared" si="8"/>
        <v>-22523440</v>
      </c>
      <c r="AH25" s="68">
        <f t="shared" si="5"/>
        <v>-2461984271.6100001</v>
      </c>
    </row>
    <row r="26" spans="1:34" ht="30" x14ac:dyDescent="0.25">
      <c r="A26" s="21" t="s">
        <v>251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>
        <v>4732848</v>
      </c>
      <c r="U26" s="84"/>
      <c r="V26" s="84"/>
      <c r="W26" s="84"/>
      <c r="X26" s="84"/>
      <c r="Y26" s="84"/>
      <c r="Z26" s="84"/>
      <c r="AA26" s="84"/>
      <c r="AB26" s="84"/>
      <c r="AC26" s="84"/>
      <c r="AD26" s="84">
        <v>13554570</v>
      </c>
      <c r="AE26" s="84">
        <v>9657126</v>
      </c>
      <c r="AF26" s="84"/>
      <c r="AG26" s="84"/>
      <c r="AH26" s="69">
        <f t="shared" si="5"/>
        <v>27944544</v>
      </c>
    </row>
    <row r="27" spans="1:34" ht="30" x14ac:dyDescent="0.25">
      <c r="A27" s="21" t="s">
        <v>252</v>
      </c>
      <c r="B27" s="84">
        <v>4350209</v>
      </c>
      <c r="C27" s="84">
        <v>9615608</v>
      </c>
      <c r="D27" s="84"/>
      <c r="E27" s="84"/>
      <c r="F27" s="84">
        <v>14230384</v>
      </c>
      <c r="G27" s="84"/>
      <c r="H27" s="84"/>
      <c r="I27" s="84">
        <v>2500574</v>
      </c>
      <c r="J27" s="84"/>
      <c r="K27" s="84">
        <v>5170975</v>
      </c>
      <c r="L27" s="84"/>
      <c r="M27" s="84"/>
      <c r="N27" s="84"/>
      <c r="O27" s="84">
        <v>1237368</v>
      </c>
      <c r="P27" s="84">
        <v>10189081</v>
      </c>
      <c r="Q27" s="84">
        <v>98353</v>
      </c>
      <c r="R27" s="84">
        <v>9710071</v>
      </c>
      <c r="S27" s="84">
        <v>8279453</v>
      </c>
      <c r="T27" s="84">
        <v>39237509</v>
      </c>
      <c r="U27" s="84">
        <v>2390506</v>
      </c>
      <c r="V27" s="84">
        <v>1153423</v>
      </c>
      <c r="W27" s="84"/>
      <c r="X27" s="84">
        <v>1647748</v>
      </c>
      <c r="Y27" s="84"/>
      <c r="Z27" s="84"/>
      <c r="AA27" s="84"/>
      <c r="AB27" s="84"/>
      <c r="AC27" s="84"/>
      <c r="AD27" s="84"/>
      <c r="AE27" s="84"/>
      <c r="AF27" s="84"/>
      <c r="AG27" s="84"/>
      <c r="AH27" s="69">
        <f t="shared" si="5"/>
        <v>109811262</v>
      </c>
    </row>
    <row r="28" spans="1:34" s="7" customFormat="1" x14ac:dyDescent="0.25">
      <c r="A28" s="3" t="s">
        <v>42</v>
      </c>
      <c r="B28" s="10">
        <v>5461852</v>
      </c>
      <c r="C28" s="10">
        <v>13814898</v>
      </c>
      <c r="D28" s="10">
        <v>45721576</v>
      </c>
      <c r="E28" s="10">
        <v>73680051</v>
      </c>
      <c r="F28" s="10">
        <v>24900100</v>
      </c>
      <c r="G28" s="10">
        <v>19602727</v>
      </c>
      <c r="H28" s="10">
        <v>68362481.170000002</v>
      </c>
      <c r="I28" s="10">
        <v>3592140</v>
      </c>
      <c r="J28" s="10">
        <v>11082913</v>
      </c>
      <c r="K28" s="10">
        <v>17073070</v>
      </c>
      <c r="L28" s="10">
        <v>38768498</v>
      </c>
      <c r="M28" s="10">
        <v>83588142</v>
      </c>
      <c r="N28" s="10">
        <v>28079096</v>
      </c>
      <c r="O28" s="10">
        <v>3300049</v>
      </c>
      <c r="P28" s="10">
        <v>18343987</v>
      </c>
      <c r="Q28" s="10">
        <v>4384410</v>
      </c>
      <c r="R28" s="10">
        <v>13148114</v>
      </c>
      <c r="S28" s="10">
        <v>12281159</v>
      </c>
      <c r="T28" s="10">
        <v>70228853.746574461</v>
      </c>
      <c r="U28" s="10">
        <v>4959269</v>
      </c>
      <c r="V28" s="10">
        <v>3071228</v>
      </c>
      <c r="W28" s="10">
        <v>22500271</v>
      </c>
      <c r="X28" s="10">
        <v>11176431</v>
      </c>
      <c r="Y28" s="10">
        <v>15066128</v>
      </c>
      <c r="Z28" s="10">
        <v>26945290</v>
      </c>
      <c r="AA28" s="10">
        <v>20899716</v>
      </c>
      <c r="AB28" s="10">
        <v>35966477</v>
      </c>
      <c r="AC28" s="10">
        <v>36612844</v>
      </c>
      <c r="AD28" s="10">
        <v>362061784</v>
      </c>
      <c r="AE28" s="10">
        <v>71536967</v>
      </c>
      <c r="AF28" s="10">
        <v>68204541</v>
      </c>
      <c r="AG28" s="10">
        <v>11168037</v>
      </c>
      <c r="AH28" s="68">
        <f t="shared" si="5"/>
        <v>1245583099.9165745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6" customWidth="1"/>
    <col min="2" max="67" width="16" style="76" customWidth="1"/>
    <col min="68" max="16384" width="9.140625" style="76"/>
  </cols>
  <sheetData>
    <row r="1" spans="1:67" ht="18.75" x14ac:dyDescent="0.3">
      <c r="A1" s="4" t="s">
        <v>231</v>
      </c>
    </row>
    <row r="2" spans="1:67" x14ac:dyDescent="0.25">
      <c r="A2" s="13" t="s">
        <v>34</v>
      </c>
    </row>
    <row r="3" spans="1:67" x14ac:dyDescent="0.25">
      <c r="A3" s="28" t="s">
        <v>216</v>
      </c>
    </row>
    <row r="4" spans="1:67" x14ac:dyDescent="0.25">
      <c r="A4" s="1" t="s">
        <v>0</v>
      </c>
      <c r="B4" s="103" t="s">
        <v>1</v>
      </c>
      <c r="C4" s="104"/>
      <c r="D4" s="103" t="s">
        <v>282</v>
      </c>
      <c r="E4" s="104"/>
      <c r="F4" s="103" t="s">
        <v>2</v>
      </c>
      <c r="G4" s="104"/>
      <c r="H4" s="103" t="s">
        <v>3</v>
      </c>
      <c r="I4" s="104"/>
      <c r="J4" s="103" t="s">
        <v>4</v>
      </c>
      <c r="K4" s="104"/>
      <c r="L4" s="103" t="s">
        <v>283</v>
      </c>
      <c r="M4" s="104"/>
      <c r="N4" s="103" t="s">
        <v>6</v>
      </c>
      <c r="O4" s="104"/>
      <c r="P4" s="103" t="s">
        <v>5</v>
      </c>
      <c r="Q4" s="104"/>
      <c r="R4" s="103" t="s">
        <v>7</v>
      </c>
      <c r="S4" s="104"/>
      <c r="T4" s="103" t="s">
        <v>284</v>
      </c>
      <c r="U4" s="104"/>
      <c r="V4" s="103" t="s">
        <v>8</v>
      </c>
      <c r="W4" s="104"/>
      <c r="X4" s="103" t="s">
        <v>9</v>
      </c>
      <c r="Y4" s="104"/>
      <c r="Z4" s="103" t="s">
        <v>10</v>
      </c>
      <c r="AA4" s="104"/>
      <c r="AB4" s="103" t="s">
        <v>304</v>
      </c>
      <c r="AC4" s="104"/>
      <c r="AD4" s="103" t="s">
        <v>11</v>
      </c>
      <c r="AE4" s="104"/>
      <c r="AF4" s="103" t="s">
        <v>12</v>
      </c>
      <c r="AG4" s="104"/>
      <c r="AH4" s="103" t="s">
        <v>285</v>
      </c>
      <c r="AI4" s="104"/>
      <c r="AJ4" s="103" t="s">
        <v>290</v>
      </c>
      <c r="AK4" s="104"/>
      <c r="AL4" s="103" t="s">
        <v>13</v>
      </c>
      <c r="AM4" s="104"/>
      <c r="AN4" s="103" t="s">
        <v>286</v>
      </c>
      <c r="AO4" s="104"/>
      <c r="AP4" s="103" t="s">
        <v>287</v>
      </c>
      <c r="AQ4" s="104"/>
      <c r="AR4" s="103" t="s">
        <v>291</v>
      </c>
      <c r="AS4" s="104"/>
      <c r="AT4" s="103" t="s">
        <v>305</v>
      </c>
      <c r="AU4" s="104"/>
      <c r="AV4" s="103" t="s">
        <v>14</v>
      </c>
      <c r="AW4" s="104"/>
      <c r="AX4" s="103" t="s">
        <v>15</v>
      </c>
      <c r="AY4" s="104"/>
      <c r="AZ4" s="103" t="s">
        <v>16</v>
      </c>
      <c r="BA4" s="104"/>
      <c r="BB4" s="103" t="s">
        <v>17</v>
      </c>
      <c r="BC4" s="104"/>
      <c r="BD4" s="103" t="s">
        <v>18</v>
      </c>
      <c r="BE4" s="104"/>
      <c r="BF4" s="103" t="s">
        <v>288</v>
      </c>
      <c r="BG4" s="104"/>
      <c r="BH4" s="103" t="s">
        <v>289</v>
      </c>
      <c r="BI4" s="104"/>
      <c r="BJ4" s="103" t="s">
        <v>19</v>
      </c>
      <c r="BK4" s="104"/>
      <c r="BL4" s="103" t="s">
        <v>20</v>
      </c>
      <c r="BM4" s="104"/>
      <c r="BN4" s="105" t="s">
        <v>21</v>
      </c>
      <c r="BO4" s="106"/>
    </row>
    <row r="5" spans="1:67" ht="30" x14ac:dyDescent="0.25">
      <c r="A5" s="1"/>
      <c r="B5" s="57" t="s">
        <v>293</v>
      </c>
      <c r="C5" s="58" t="s">
        <v>294</v>
      </c>
      <c r="D5" s="57" t="s">
        <v>293</v>
      </c>
      <c r="E5" s="58" t="s">
        <v>294</v>
      </c>
      <c r="F5" s="57" t="s">
        <v>293</v>
      </c>
      <c r="G5" s="58" t="s">
        <v>294</v>
      </c>
      <c r="H5" s="57" t="s">
        <v>293</v>
      </c>
      <c r="I5" s="58" t="s">
        <v>294</v>
      </c>
      <c r="J5" s="57" t="s">
        <v>293</v>
      </c>
      <c r="K5" s="58" t="s">
        <v>294</v>
      </c>
      <c r="L5" s="57" t="s">
        <v>293</v>
      </c>
      <c r="M5" s="58" t="s">
        <v>294</v>
      </c>
      <c r="N5" s="57" t="s">
        <v>293</v>
      </c>
      <c r="O5" s="58" t="s">
        <v>294</v>
      </c>
      <c r="P5" s="57" t="s">
        <v>293</v>
      </c>
      <c r="Q5" s="58" t="s">
        <v>294</v>
      </c>
      <c r="R5" s="57" t="s">
        <v>293</v>
      </c>
      <c r="S5" s="58" t="s">
        <v>294</v>
      </c>
      <c r="T5" s="57" t="s">
        <v>293</v>
      </c>
      <c r="U5" s="58" t="s">
        <v>294</v>
      </c>
      <c r="V5" s="57" t="s">
        <v>293</v>
      </c>
      <c r="W5" s="58" t="s">
        <v>294</v>
      </c>
      <c r="X5" s="57" t="s">
        <v>293</v>
      </c>
      <c r="Y5" s="58" t="s">
        <v>294</v>
      </c>
      <c r="Z5" s="57" t="s">
        <v>293</v>
      </c>
      <c r="AA5" s="58" t="s">
        <v>294</v>
      </c>
      <c r="AB5" s="57" t="s">
        <v>293</v>
      </c>
      <c r="AC5" s="58" t="s">
        <v>294</v>
      </c>
      <c r="AD5" s="57" t="s">
        <v>293</v>
      </c>
      <c r="AE5" s="58" t="s">
        <v>294</v>
      </c>
      <c r="AF5" s="57" t="s">
        <v>293</v>
      </c>
      <c r="AG5" s="58" t="s">
        <v>294</v>
      </c>
      <c r="AH5" s="57" t="s">
        <v>293</v>
      </c>
      <c r="AI5" s="58" t="s">
        <v>294</v>
      </c>
      <c r="AJ5" s="57" t="s">
        <v>293</v>
      </c>
      <c r="AK5" s="58" t="s">
        <v>294</v>
      </c>
      <c r="AL5" s="57" t="s">
        <v>293</v>
      </c>
      <c r="AM5" s="58" t="s">
        <v>294</v>
      </c>
      <c r="AN5" s="57" t="s">
        <v>293</v>
      </c>
      <c r="AO5" s="58" t="s">
        <v>294</v>
      </c>
      <c r="AP5" s="57" t="s">
        <v>293</v>
      </c>
      <c r="AQ5" s="58" t="s">
        <v>294</v>
      </c>
      <c r="AR5" s="57" t="s">
        <v>293</v>
      </c>
      <c r="AS5" s="58" t="s">
        <v>294</v>
      </c>
      <c r="AT5" s="57" t="s">
        <v>293</v>
      </c>
      <c r="AU5" s="58" t="s">
        <v>294</v>
      </c>
      <c r="AV5" s="57" t="s">
        <v>293</v>
      </c>
      <c r="AW5" s="58" t="s">
        <v>294</v>
      </c>
      <c r="AX5" s="57" t="s">
        <v>293</v>
      </c>
      <c r="AY5" s="58" t="s">
        <v>294</v>
      </c>
      <c r="AZ5" s="57" t="s">
        <v>293</v>
      </c>
      <c r="BA5" s="58" t="s">
        <v>294</v>
      </c>
      <c r="BB5" s="57" t="s">
        <v>293</v>
      </c>
      <c r="BC5" s="58" t="s">
        <v>294</v>
      </c>
      <c r="BD5" s="57" t="s">
        <v>293</v>
      </c>
      <c r="BE5" s="58" t="s">
        <v>294</v>
      </c>
      <c r="BF5" s="57" t="s">
        <v>293</v>
      </c>
      <c r="BG5" s="58" t="s">
        <v>294</v>
      </c>
      <c r="BH5" s="57" t="s">
        <v>293</v>
      </c>
      <c r="BI5" s="58" t="s">
        <v>294</v>
      </c>
      <c r="BJ5" s="57" t="s">
        <v>293</v>
      </c>
      <c r="BK5" s="58" t="s">
        <v>294</v>
      </c>
      <c r="BL5" s="57" t="s">
        <v>293</v>
      </c>
      <c r="BM5" s="58" t="s">
        <v>294</v>
      </c>
      <c r="BN5" s="57" t="s">
        <v>293</v>
      </c>
      <c r="BO5" s="58" t="s">
        <v>294</v>
      </c>
    </row>
    <row r="6" spans="1:67" x14ac:dyDescent="0.25">
      <c r="A6" s="84" t="s">
        <v>271</v>
      </c>
      <c r="B6" s="84">
        <v>32</v>
      </c>
      <c r="C6" s="84">
        <v>34</v>
      </c>
      <c r="D6" s="84"/>
      <c r="E6" s="84"/>
      <c r="F6" s="84"/>
      <c r="G6" s="84"/>
      <c r="H6" s="84">
        <v>3464731</v>
      </c>
      <c r="I6" s="84">
        <v>12264400</v>
      </c>
      <c r="J6" s="84">
        <v>692652</v>
      </c>
      <c r="K6" s="84">
        <v>2516678</v>
      </c>
      <c r="L6" s="84">
        <v>912896</v>
      </c>
      <c r="M6" s="84">
        <v>3127653</v>
      </c>
      <c r="N6" s="84"/>
      <c r="O6" s="84"/>
      <c r="P6" s="84">
        <v>11836</v>
      </c>
      <c r="Q6" s="84">
        <v>76201</v>
      </c>
      <c r="R6" s="84">
        <v>1216744</v>
      </c>
      <c r="S6" s="84">
        <v>3536596</v>
      </c>
      <c r="T6" s="84">
        <v>627192</v>
      </c>
      <c r="U6" s="84">
        <v>1319182</v>
      </c>
      <c r="V6" s="84">
        <v>2517403</v>
      </c>
      <c r="W6" s="84">
        <v>9227999</v>
      </c>
      <c r="X6" s="84">
        <v>4883727</v>
      </c>
      <c r="Y6" s="84">
        <v>17476043</v>
      </c>
      <c r="Z6" s="84">
        <v>1613039</v>
      </c>
      <c r="AA6" s="84">
        <v>6686592</v>
      </c>
      <c r="AB6" s="84">
        <v>97734</v>
      </c>
      <c r="AC6" s="84">
        <v>235031</v>
      </c>
      <c r="AD6" s="84">
        <v>148102</v>
      </c>
      <c r="AE6" s="84">
        <v>720426</v>
      </c>
      <c r="AF6" s="84">
        <v>228816</v>
      </c>
      <c r="AG6" s="84">
        <v>712291</v>
      </c>
      <c r="AH6" s="84"/>
      <c r="AI6" s="84"/>
      <c r="AJ6" s="84"/>
      <c r="AK6" s="84"/>
      <c r="AL6" s="84">
        <v>2348760.9109066771</v>
      </c>
      <c r="AM6" s="84">
        <v>9478265.3469801564</v>
      </c>
      <c r="AN6" s="84">
        <v>83724</v>
      </c>
      <c r="AO6" s="84">
        <v>153210</v>
      </c>
      <c r="AP6" s="84">
        <v>19237</v>
      </c>
      <c r="AQ6" s="84">
        <v>84489</v>
      </c>
      <c r="AR6" s="84">
        <v>1430793</v>
      </c>
      <c r="AS6" s="84">
        <v>7399162</v>
      </c>
      <c r="AT6" s="84"/>
      <c r="AU6" s="84"/>
      <c r="AV6" s="84">
        <v>476037</v>
      </c>
      <c r="AW6" s="84">
        <v>2149217</v>
      </c>
      <c r="AX6" s="84">
        <v>3426034</v>
      </c>
      <c r="AY6" s="84">
        <v>9862338</v>
      </c>
      <c r="AZ6" s="84">
        <v>103316</v>
      </c>
      <c r="BA6" s="84">
        <v>286181</v>
      </c>
      <c r="BB6" s="84"/>
      <c r="BC6" s="84"/>
      <c r="BD6" s="84">
        <v>2966551</v>
      </c>
      <c r="BE6" s="84">
        <v>11153293</v>
      </c>
      <c r="BF6" s="84">
        <v>11882069</v>
      </c>
      <c r="BG6" s="84">
        <v>37193646</v>
      </c>
      <c r="BH6" s="84">
        <v>3562510</v>
      </c>
      <c r="BI6" s="84">
        <v>14039143</v>
      </c>
      <c r="BJ6" s="84">
        <v>3246130</v>
      </c>
      <c r="BK6" s="84">
        <v>13555923</v>
      </c>
      <c r="BL6" s="84">
        <v>310585</v>
      </c>
      <c r="BM6" s="84">
        <v>1653073</v>
      </c>
      <c r="BN6" s="73">
        <f t="shared" ref="BN6:BN10" si="0">SUM(B6+D6+F6+H6+J6+L6+N6+P6+R6+T6+V6+X6+Z6+AB6+AD6+AF6+AH6+AJ6+AL6+AN6+AP6+AR6+AT6+AV6+AX6+AZ6+BB6+BD6+BF6+BH6+BJ6+BL6)</f>
        <v>46270650.910906672</v>
      </c>
      <c r="BO6" s="73">
        <f t="shared" ref="BO6:BO10" si="1">SUM(C6+E6+G6+I6+K6+M6+O6+Q6+S6+U6+W6+Y6+AA6+AC6+AE6+AG6+AI6+AK6+AM6+AO6+AQ6+AS6+AU6+AW6+AY6+BA6+BC6+BE6+BG6+BI6+BK6+BM6)</f>
        <v>164907066.34698015</v>
      </c>
    </row>
    <row r="7" spans="1:67" x14ac:dyDescent="0.25">
      <c r="A7" s="84" t="s">
        <v>274</v>
      </c>
      <c r="B7" s="84"/>
      <c r="C7" s="84"/>
      <c r="D7" s="84"/>
      <c r="E7" s="84"/>
      <c r="F7" s="84"/>
      <c r="G7" s="84"/>
      <c r="H7" s="84">
        <v>61075</v>
      </c>
      <c r="I7" s="84">
        <v>388225</v>
      </c>
      <c r="J7" s="84">
        <v>5235</v>
      </c>
      <c r="K7" s="84">
        <v>168395</v>
      </c>
      <c r="L7" s="84">
        <v>18428</v>
      </c>
      <c r="M7" s="84">
        <v>78683</v>
      </c>
      <c r="N7" s="84"/>
      <c r="O7" s="84"/>
      <c r="P7" s="84">
        <v>10508</v>
      </c>
      <c r="Q7" s="84">
        <v>53077</v>
      </c>
      <c r="R7" s="84">
        <v>109143</v>
      </c>
      <c r="S7" s="84">
        <v>518017</v>
      </c>
      <c r="T7" s="84">
        <v>423760</v>
      </c>
      <c r="U7" s="84">
        <v>2309056</v>
      </c>
      <c r="V7" s="84">
        <v>233425</v>
      </c>
      <c r="W7" s="84">
        <v>930027</v>
      </c>
      <c r="X7" s="84">
        <v>170860</v>
      </c>
      <c r="Y7" s="84">
        <v>767511</v>
      </c>
      <c r="Z7" s="84">
        <v>335074</v>
      </c>
      <c r="AA7" s="84">
        <v>910038</v>
      </c>
      <c r="AB7" s="84">
        <v>4869</v>
      </c>
      <c r="AC7" s="84">
        <v>20758</v>
      </c>
      <c r="AD7" s="84">
        <v>41894</v>
      </c>
      <c r="AE7" s="84">
        <v>96777</v>
      </c>
      <c r="AF7" s="84">
        <v>200363</v>
      </c>
      <c r="AG7" s="84">
        <v>563795</v>
      </c>
      <c r="AH7" s="84"/>
      <c r="AI7" s="84"/>
      <c r="AJ7" s="84"/>
      <c r="AK7" s="84"/>
      <c r="AL7" s="84">
        <v>297165.17151150794</v>
      </c>
      <c r="AM7" s="84">
        <v>788741.65138249996</v>
      </c>
      <c r="AN7" s="84">
        <v>974</v>
      </c>
      <c r="AO7" s="84">
        <v>3512</v>
      </c>
      <c r="AP7" s="84">
        <v>20575</v>
      </c>
      <c r="AQ7" s="84">
        <v>39403</v>
      </c>
      <c r="AR7" s="84">
        <v>150291</v>
      </c>
      <c r="AS7" s="84">
        <v>712805</v>
      </c>
      <c r="AT7" s="84"/>
      <c r="AU7" s="84"/>
      <c r="AV7" s="84">
        <v>109183</v>
      </c>
      <c r="AW7" s="84">
        <v>462955</v>
      </c>
      <c r="AX7" s="84">
        <v>7601</v>
      </c>
      <c r="AY7" s="84">
        <v>23273</v>
      </c>
      <c r="AZ7" s="84">
        <v>9260</v>
      </c>
      <c r="BA7" s="84">
        <v>41302</v>
      </c>
      <c r="BB7" s="84"/>
      <c r="BC7" s="84"/>
      <c r="BD7" s="84">
        <v>177752</v>
      </c>
      <c r="BE7" s="84">
        <v>858191</v>
      </c>
      <c r="BF7" s="84">
        <v>1986097</v>
      </c>
      <c r="BG7" s="84">
        <v>8183230</v>
      </c>
      <c r="BH7" s="84">
        <v>283366</v>
      </c>
      <c r="BI7" s="84">
        <v>786363</v>
      </c>
      <c r="BJ7" s="84">
        <v>348259</v>
      </c>
      <c r="BK7" s="84">
        <v>671014</v>
      </c>
      <c r="BL7" s="84">
        <v>11770</v>
      </c>
      <c r="BM7" s="84">
        <v>24657</v>
      </c>
      <c r="BN7" s="73">
        <f t="shared" si="0"/>
        <v>5016927.1715115085</v>
      </c>
      <c r="BO7" s="73">
        <f t="shared" si="1"/>
        <v>19399805.651382498</v>
      </c>
    </row>
    <row r="8" spans="1:67" x14ac:dyDescent="0.25">
      <c r="A8" s="84" t="s">
        <v>275</v>
      </c>
      <c r="B8" s="84">
        <v>2</v>
      </c>
      <c r="C8" s="84">
        <v>2</v>
      </c>
      <c r="D8" s="84"/>
      <c r="E8" s="84"/>
      <c r="F8" s="84"/>
      <c r="G8" s="84"/>
      <c r="H8" s="84">
        <v>2871277</v>
      </c>
      <c r="I8" s="84">
        <v>10707156</v>
      </c>
      <c r="J8" s="84">
        <v>579072</v>
      </c>
      <c r="K8" s="84">
        <v>2219817</v>
      </c>
      <c r="L8" s="84">
        <v>478126</v>
      </c>
      <c r="M8" s="84">
        <v>2024130</v>
      </c>
      <c r="N8" s="84"/>
      <c r="O8" s="84"/>
      <c r="P8" s="84">
        <v>17277</v>
      </c>
      <c r="Q8" s="84">
        <v>110513</v>
      </c>
      <c r="R8" s="84">
        <v>776672</v>
      </c>
      <c r="S8" s="84">
        <v>2753343</v>
      </c>
      <c r="T8" s="84">
        <v>916873</v>
      </c>
      <c r="U8" s="84">
        <v>3233714</v>
      </c>
      <c r="V8" s="84">
        <v>-2010861</v>
      </c>
      <c r="W8" s="84">
        <v>-7724146</v>
      </c>
      <c r="X8" s="84">
        <v>3713118</v>
      </c>
      <c r="Y8" s="84">
        <v>13374223</v>
      </c>
      <c r="Z8" s="84">
        <v>1807050</v>
      </c>
      <c r="AA8" s="84">
        <v>7013346</v>
      </c>
      <c r="AB8" s="84">
        <v>50952</v>
      </c>
      <c r="AC8" s="84">
        <v>136425</v>
      </c>
      <c r="AD8" s="84">
        <v>145921</v>
      </c>
      <c r="AE8" s="84">
        <v>697964</v>
      </c>
      <c r="AF8" s="84">
        <v>-324560</v>
      </c>
      <c r="AG8" s="84">
        <v>-1041365</v>
      </c>
      <c r="AH8" s="84"/>
      <c r="AI8" s="84"/>
      <c r="AJ8" s="84"/>
      <c r="AK8" s="84"/>
      <c r="AL8" s="84">
        <v>1507537.634566525</v>
      </c>
      <c r="AM8" s="84">
        <v>4029877.5536942529</v>
      </c>
      <c r="AN8" s="84">
        <v>-6629</v>
      </c>
      <c r="AO8" s="84">
        <v>-4747</v>
      </c>
      <c r="AP8" s="84">
        <v>27296</v>
      </c>
      <c r="AQ8" s="84">
        <v>90663</v>
      </c>
      <c r="AR8" s="84">
        <v>1094616</v>
      </c>
      <c r="AS8" s="84">
        <v>5971269</v>
      </c>
      <c r="AT8" s="84"/>
      <c r="AU8" s="84"/>
      <c r="AV8" s="84">
        <v>-473987</v>
      </c>
      <c r="AW8" s="84">
        <v>-2203135</v>
      </c>
      <c r="AX8" s="84">
        <v>2461093</v>
      </c>
      <c r="AY8" s="84">
        <v>7108780</v>
      </c>
      <c r="AZ8" s="84">
        <v>47791</v>
      </c>
      <c r="BA8" s="84">
        <v>153363</v>
      </c>
      <c r="BB8" s="84"/>
      <c r="BC8" s="84"/>
      <c r="BD8" s="84">
        <v>2155217</v>
      </c>
      <c r="BE8" s="84">
        <v>9093816</v>
      </c>
      <c r="BF8" s="84">
        <v>7860633</v>
      </c>
      <c r="BG8" s="84">
        <v>22894028</v>
      </c>
      <c r="BH8" s="84">
        <v>2293599</v>
      </c>
      <c r="BI8" s="84">
        <v>8707860</v>
      </c>
      <c r="BJ8" s="84">
        <v>1503918</v>
      </c>
      <c r="BK8" s="84">
        <v>7051575</v>
      </c>
      <c r="BL8" s="84">
        <v>184905</v>
      </c>
      <c r="BM8" s="84">
        <v>1272120</v>
      </c>
      <c r="BN8" s="73">
        <f t="shared" si="0"/>
        <v>27676908.634566523</v>
      </c>
      <c r="BO8" s="73">
        <f t="shared" si="1"/>
        <v>97670591.553694248</v>
      </c>
    </row>
    <row r="9" spans="1:67" x14ac:dyDescent="0.25">
      <c r="A9" s="84" t="s">
        <v>229</v>
      </c>
      <c r="B9" s="84">
        <v>30</v>
      </c>
      <c r="C9" s="84">
        <v>32</v>
      </c>
      <c r="D9" s="84"/>
      <c r="E9" s="84"/>
      <c r="F9" s="84"/>
      <c r="G9" s="84"/>
      <c r="H9" s="84">
        <v>654529</v>
      </c>
      <c r="I9" s="84">
        <v>1945469</v>
      </c>
      <c r="J9" s="84">
        <v>118814</v>
      </c>
      <c r="K9" s="84">
        <v>465256</v>
      </c>
      <c r="L9" s="84">
        <v>453198</v>
      </c>
      <c r="M9" s="84">
        <v>1182206</v>
      </c>
      <c r="N9" s="84"/>
      <c r="O9" s="84"/>
      <c r="P9" s="84">
        <v>5067</v>
      </c>
      <c r="Q9" s="84">
        <v>18765</v>
      </c>
      <c r="R9" s="84">
        <v>549216</v>
      </c>
      <c r="S9" s="84">
        <v>1301270</v>
      </c>
      <c r="T9" s="84">
        <v>134079</v>
      </c>
      <c r="U9" s="84">
        <v>394524</v>
      </c>
      <c r="V9" s="84">
        <v>739967</v>
      </c>
      <c r="W9" s="84">
        <v>2433880</v>
      </c>
      <c r="X9" s="84">
        <v>1341469</v>
      </c>
      <c r="Y9" s="84">
        <v>4869331</v>
      </c>
      <c r="Z9" s="84">
        <v>141063</v>
      </c>
      <c r="AA9" s="84">
        <v>583284</v>
      </c>
      <c r="AB9" s="84">
        <v>51651</v>
      </c>
      <c r="AC9" s="84">
        <v>119364</v>
      </c>
      <c r="AD9" s="84">
        <v>44074</v>
      </c>
      <c r="AE9" s="84">
        <v>119239</v>
      </c>
      <c r="AF9" s="84">
        <v>104619</v>
      </c>
      <c r="AG9" s="84">
        <v>234721</v>
      </c>
      <c r="AH9" s="84"/>
      <c r="AI9" s="84"/>
      <c r="AJ9" s="84"/>
      <c r="AK9" s="84"/>
      <c r="AL9" s="84">
        <v>1138388.4478516602</v>
      </c>
      <c r="AM9" s="84">
        <v>6237129.4446684038</v>
      </c>
      <c r="AN9" s="84">
        <v>78069</v>
      </c>
      <c r="AO9" s="84">
        <v>151975</v>
      </c>
      <c r="AP9" s="84">
        <v>12515</v>
      </c>
      <c r="AQ9" s="84">
        <v>33229</v>
      </c>
      <c r="AR9" s="84">
        <v>486468</v>
      </c>
      <c r="AS9" s="84">
        <v>2140698</v>
      </c>
      <c r="AT9" s="84"/>
      <c r="AU9" s="84"/>
      <c r="AV9" s="84">
        <v>111233</v>
      </c>
      <c r="AW9" s="84">
        <v>409037</v>
      </c>
      <c r="AX9" s="84">
        <v>972542</v>
      </c>
      <c r="AY9" s="84">
        <v>2776831</v>
      </c>
      <c r="AZ9" s="84">
        <v>64785</v>
      </c>
      <c r="BA9" s="84">
        <v>174120</v>
      </c>
      <c r="BB9" s="84"/>
      <c r="BC9" s="84"/>
      <c r="BD9" s="84">
        <v>989086</v>
      </c>
      <c r="BE9" s="84">
        <v>2917668</v>
      </c>
      <c r="BF9" s="84">
        <v>6007533</v>
      </c>
      <c r="BG9" s="84">
        <v>22482848</v>
      </c>
      <c r="BH9" s="84">
        <v>1552277</v>
      </c>
      <c r="BI9" s="84">
        <v>6117646</v>
      </c>
      <c r="BJ9" s="84">
        <v>2090471</v>
      </c>
      <c r="BK9" s="84">
        <v>7175362</v>
      </c>
      <c r="BL9" s="84">
        <v>137450</v>
      </c>
      <c r="BM9" s="84">
        <v>405610</v>
      </c>
      <c r="BN9" s="73">
        <f t="shared" si="0"/>
        <v>17978593.447851658</v>
      </c>
      <c r="BO9" s="73">
        <f t="shared" si="1"/>
        <v>64689494.444668405</v>
      </c>
    </row>
    <row r="10" spans="1:67" x14ac:dyDescent="0.25">
      <c r="A10" s="84" t="s">
        <v>230</v>
      </c>
      <c r="B10" s="84">
        <v>7</v>
      </c>
      <c r="C10" s="84">
        <v>7</v>
      </c>
      <c r="D10" s="84"/>
      <c r="E10" s="84"/>
      <c r="F10" s="84"/>
      <c r="G10" s="84"/>
      <c r="H10" s="84">
        <v>697816</v>
      </c>
      <c r="I10" s="84">
        <v>2051893</v>
      </c>
      <c r="J10" s="84">
        <v>148519</v>
      </c>
      <c r="K10" s="84">
        <v>335518</v>
      </c>
      <c r="L10" s="84">
        <v>287628</v>
      </c>
      <c r="M10" s="84">
        <v>856724</v>
      </c>
      <c r="N10" s="84"/>
      <c r="O10" s="84"/>
      <c r="P10" s="84">
        <v>6504</v>
      </c>
      <c r="Q10" s="84">
        <v>13246</v>
      </c>
      <c r="R10" s="84">
        <v>345735</v>
      </c>
      <c r="S10" s="84">
        <v>903029</v>
      </c>
      <c r="T10" s="84">
        <v>132141</v>
      </c>
      <c r="U10" s="84">
        <v>266017</v>
      </c>
      <c r="V10" s="84">
        <v>671795</v>
      </c>
      <c r="W10" s="84">
        <v>1748623</v>
      </c>
      <c r="X10" s="84">
        <v>1340805</v>
      </c>
      <c r="Y10" s="84">
        <v>3553721</v>
      </c>
      <c r="Z10" s="84">
        <v>190208</v>
      </c>
      <c r="AA10" s="84">
        <v>592366</v>
      </c>
      <c r="AB10" s="84">
        <v>21737</v>
      </c>
      <c r="AC10" s="84">
        <v>64909</v>
      </c>
      <c r="AD10" s="84">
        <v>42741</v>
      </c>
      <c r="AE10" s="84">
        <v>135099</v>
      </c>
      <c r="AF10" s="84">
        <v>62120</v>
      </c>
      <c r="AG10" s="84">
        <v>124009</v>
      </c>
      <c r="AH10" s="84"/>
      <c r="AI10" s="84"/>
      <c r="AJ10" s="84"/>
      <c r="AK10" s="84"/>
      <c r="AL10" s="84">
        <v>909407.21185166016</v>
      </c>
      <c r="AM10" s="84">
        <v>5631872.5056684036</v>
      </c>
      <c r="AN10" s="84">
        <v>70056</v>
      </c>
      <c r="AO10" s="84">
        <v>51553</v>
      </c>
      <c r="AP10" s="84">
        <v>6786</v>
      </c>
      <c r="AQ10" s="84">
        <v>19402</v>
      </c>
      <c r="AR10" s="84">
        <v>542525</v>
      </c>
      <c r="AS10" s="84">
        <v>1688969</v>
      </c>
      <c r="AT10" s="84"/>
      <c r="AU10" s="84"/>
      <c r="AV10" s="84">
        <v>153854</v>
      </c>
      <c r="AW10" s="84">
        <v>395630</v>
      </c>
      <c r="AX10" s="84">
        <v>775767</v>
      </c>
      <c r="AY10" s="84">
        <v>2039729</v>
      </c>
      <c r="AZ10" s="84">
        <v>44710</v>
      </c>
      <c r="BA10" s="84">
        <v>136589</v>
      </c>
      <c r="BB10" s="84"/>
      <c r="BC10" s="84"/>
      <c r="BD10" s="84">
        <v>692748</v>
      </c>
      <c r="BE10" s="84">
        <v>1665664</v>
      </c>
      <c r="BF10" s="84">
        <v>7156663</v>
      </c>
      <c r="BG10" s="84">
        <v>21741398</v>
      </c>
      <c r="BH10" s="84">
        <v>1534729</v>
      </c>
      <c r="BI10" s="84">
        <v>5826225</v>
      </c>
      <c r="BJ10" s="84">
        <v>1790153</v>
      </c>
      <c r="BK10" s="84">
        <v>7119628</v>
      </c>
      <c r="BL10" s="84">
        <v>158532</v>
      </c>
      <c r="BM10" s="84">
        <v>417850</v>
      </c>
      <c r="BN10" s="73">
        <f t="shared" si="0"/>
        <v>17783686.21185166</v>
      </c>
      <c r="BO10" s="73">
        <f t="shared" si="1"/>
        <v>57379670.505668402</v>
      </c>
    </row>
    <row r="12" spans="1:67" x14ac:dyDescent="0.25">
      <c r="A12" s="24" t="s">
        <v>217</v>
      </c>
    </row>
    <row r="13" spans="1:67" x14ac:dyDescent="0.25">
      <c r="A13" s="1" t="s">
        <v>0</v>
      </c>
      <c r="B13" s="103" t="s">
        <v>1</v>
      </c>
      <c r="C13" s="104"/>
      <c r="D13" s="103" t="s">
        <v>282</v>
      </c>
      <c r="E13" s="104"/>
      <c r="F13" s="103" t="s">
        <v>2</v>
      </c>
      <c r="G13" s="104"/>
      <c r="H13" s="103" t="s">
        <v>3</v>
      </c>
      <c r="I13" s="104"/>
      <c r="J13" s="103" t="s">
        <v>4</v>
      </c>
      <c r="K13" s="104"/>
      <c r="L13" s="103" t="s">
        <v>283</v>
      </c>
      <c r="M13" s="104"/>
      <c r="N13" s="103" t="s">
        <v>6</v>
      </c>
      <c r="O13" s="104"/>
      <c r="P13" s="103" t="s">
        <v>5</v>
      </c>
      <c r="Q13" s="104"/>
      <c r="R13" s="103" t="s">
        <v>7</v>
      </c>
      <c r="S13" s="104"/>
      <c r="T13" s="103" t="s">
        <v>284</v>
      </c>
      <c r="U13" s="104"/>
      <c r="V13" s="103" t="s">
        <v>8</v>
      </c>
      <c r="W13" s="104"/>
      <c r="X13" s="103" t="s">
        <v>9</v>
      </c>
      <c r="Y13" s="104"/>
      <c r="Z13" s="103" t="s">
        <v>10</v>
      </c>
      <c r="AA13" s="104"/>
      <c r="AB13" s="103" t="s">
        <v>304</v>
      </c>
      <c r="AC13" s="104"/>
      <c r="AD13" s="103" t="s">
        <v>11</v>
      </c>
      <c r="AE13" s="104"/>
      <c r="AF13" s="103" t="s">
        <v>12</v>
      </c>
      <c r="AG13" s="104"/>
      <c r="AH13" s="103" t="s">
        <v>285</v>
      </c>
      <c r="AI13" s="104"/>
      <c r="AJ13" s="103" t="s">
        <v>290</v>
      </c>
      <c r="AK13" s="104"/>
      <c r="AL13" s="103" t="s">
        <v>13</v>
      </c>
      <c r="AM13" s="104"/>
      <c r="AN13" s="103" t="s">
        <v>286</v>
      </c>
      <c r="AO13" s="104"/>
      <c r="AP13" s="103" t="s">
        <v>287</v>
      </c>
      <c r="AQ13" s="104"/>
      <c r="AR13" s="103" t="s">
        <v>291</v>
      </c>
      <c r="AS13" s="104"/>
      <c r="AT13" s="103" t="s">
        <v>305</v>
      </c>
      <c r="AU13" s="104"/>
      <c r="AV13" s="103" t="s">
        <v>14</v>
      </c>
      <c r="AW13" s="104"/>
      <c r="AX13" s="103" t="s">
        <v>15</v>
      </c>
      <c r="AY13" s="104"/>
      <c r="AZ13" s="103" t="s">
        <v>16</v>
      </c>
      <c r="BA13" s="104"/>
      <c r="BB13" s="103" t="s">
        <v>17</v>
      </c>
      <c r="BC13" s="104"/>
      <c r="BD13" s="103" t="s">
        <v>18</v>
      </c>
      <c r="BE13" s="104"/>
      <c r="BF13" s="103" t="s">
        <v>288</v>
      </c>
      <c r="BG13" s="104"/>
      <c r="BH13" s="103" t="s">
        <v>289</v>
      </c>
      <c r="BI13" s="104"/>
      <c r="BJ13" s="103" t="s">
        <v>19</v>
      </c>
      <c r="BK13" s="104"/>
      <c r="BL13" s="103" t="s">
        <v>20</v>
      </c>
      <c r="BM13" s="104"/>
      <c r="BN13" s="105" t="s">
        <v>21</v>
      </c>
      <c r="BO13" s="106"/>
    </row>
    <row r="14" spans="1:67" ht="30" x14ac:dyDescent="0.25">
      <c r="A14" s="1"/>
      <c r="B14" s="57" t="s">
        <v>293</v>
      </c>
      <c r="C14" s="58" t="s">
        <v>294</v>
      </c>
      <c r="D14" s="57" t="s">
        <v>293</v>
      </c>
      <c r="E14" s="58" t="s">
        <v>294</v>
      </c>
      <c r="F14" s="57" t="s">
        <v>293</v>
      </c>
      <c r="G14" s="58" t="s">
        <v>294</v>
      </c>
      <c r="H14" s="57" t="s">
        <v>293</v>
      </c>
      <c r="I14" s="58" t="s">
        <v>294</v>
      </c>
      <c r="J14" s="57" t="s">
        <v>293</v>
      </c>
      <c r="K14" s="58" t="s">
        <v>294</v>
      </c>
      <c r="L14" s="57" t="s">
        <v>293</v>
      </c>
      <c r="M14" s="58" t="s">
        <v>294</v>
      </c>
      <c r="N14" s="57" t="s">
        <v>293</v>
      </c>
      <c r="O14" s="58" t="s">
        <v>294</v>
      </c>
      <c r="P14" s="57" t="s">
        <v>293</v>
      </c>
      <c r="Q14" s="58" t="s">
        <v>294</v>
      </c>
      <c r="R14" s="57" t="s">
        <v>293</v>
      </c>
      <c r="S14" s="58" t="s">
        <v>294</v>
      </c>
      <c r="T14" s="57" t="s">
        <v>293</v>
      </c>
      <c r="U14" s="58" t="s">
        <v>294</v>
      </c>
      <c r="V14" s="57" t="s">
        <v>293</v>
      </c>
      <c r="W14" s="58" t="s">
        <v>294</v>
      </c>
      <c r="X14" s="57" t="s">
        <v>293</v>
      </c>
      <c r="Y14" s="58" t="s">
        <v>294</v>
      </c>
      <c r="Z14" s="57" t="s">
        <v>293</v>
      </c>
      <c r="AA14" s="58" t="s">
        <v>294</v>
      </c>
      <c r="AB14" s="57" t="s">
        <v>293</v>
      </c>
      <c r="AC14" s="58" t="s">
        <v>294</v>
      </c>
      <c r="AD14" s="57" t="s">
        <v>293</v>
      </c>
      <c r="AE14" s="58" t="s">
        <v>294</v>
      </c>
      <c r="AF14" s="57" t="s">
        <v>293</v>
      </c>
      <c r="AG14" s="58" t="s">
        <v>294</v>
      </c>
      <c r="AH14" s="57" t="s">
        <v>293</v>
      </c>
      <c r="AI14" s="58" t="s">
        <v>294</v>
      </c>
      <c r="AJ14" s="57" t="s">
        <v>293</v>
      </c>
      <c r="AK14" s="58" t="s">
        <v>294</v>
      </c>
      <c r="AL14" s="57" t="s">
        <v>293</v>
      </c>
      <c r="AM14" s="58" t="s">
        <v>294</v>
      </c>
      <c r="AN14" s="57" t="s">
        <v>293</v>
      </c>
      <c r="AO14" s="58" t="s">
        <v>294</v>
      </c>
      <c r="AP14" s="57" t="s">
        <v>293</v>
      </c>
      <c r="AQ14" s="58" t="s">
        <v>294</v>
      </c>
      <c r="AR14" s="57" t="s">
        <v>293</v>
      </c>
      <c r="AS14" s="58" t="s">
        <v>294</v>
      </c>
      <c r="AT14" s="57" t="s">
        <v>293</v>
      </c>
      <c r="AU14" s="58" t="s">
        <v>294</v>
      </c>
      <c r="AV14" s="57" t="s">
        <v>293</v>
      </c>
      <c r="AW14" s="58" t="s">
        <v>294</v>
      </c>
      <c r="AX14" s="57" t="s">
        <v>293</v>
      </c>
      <c r="AY14" s="58" t="s">
        <v>294</v>
      </c>
      <c r="AZ14" s="57" t="s">
        <v>293</v>
      </c>
      <c r="BA14" s="58" t="s">
        <v>294</v>
      </c>
      <c r="BB14" s="57" t="s">
        <v>293</v>
      </c>
      <c r="BC14" s="58" t="s">
        <v>294</v>
      </c>
      <c r="BD14" s="57" t="s">
        <v>293</v>
      </c>
      <c r="BE14" s="58" t="s">
        <v>294</v>
      </c>
      <c r="BF14" s="57" t="s">
        <v>293</v>
      </c>
      <c r="BG14" s="58" t="s">
        <v>294</v>
      </c>
      <c r="BH14" s="57" t="s">
        <v>293</v>
      </c>
      <c r="BI14" s="58" t="s">
        <v>294</v>
      </c>
      <c r="BJ14" s="57" t="s">
        <v>293</v>
      </c>
      <c r="BK14" s="58" t="s">
        <v>294</v>
      </c>
      <c r="BL14" s="57" t="s">
        <v>293</v>
      </c>
      <c r="BM14" s="58" t="s">
        <v>294</v>
      </c>
      <c r="BN14" s="57" t="s">
        <v>293</v>
      </c>
      <c r="BO14" s="58" t="s">
        <v>294</v>
      </c>
    </row>
    <row r="15" spans="1:67" x14ac:dyDescent="0.25">
      <c r="A15" s="84" t="s">
        <v>271</v>
      </c>
      <c r="B15" s="84"/>
      <c r="C15" s="84"/>
      <c r="D15" s="84"/>
      <c r="E15" s="84"/>
      <c r="F15" s="84"/>
      <c r="G15" s="84"/>
      <c r="H15" s="84">
        <v>338027</v>
      </c>
      <c r="I15" s="84">
        <v>1237632</v>
      </c>
      <c r="J15" s="84">
        <v>201006</v>
      </c>
      <c r="K15" s="84">
        <v>569564</v>
      </c>
      <c r="L15" s="84">
        <v>173739</v>
      </c>
      <c r="M15" s="84">
        <v>519767</v>
      </c>
      <c r="N15" s="84"/>
      <c r="O15" s="84"/>
      <c r="P15" s="84">
        <v>16845</v>
      </c>
      <c r="Q15" s="84">
        <v>29921</v>
      </c>
      <c r="R15" s="84">
        <v>152976</v>
      </c>
      <c r="S15" s="84">
        <v>462049</v>
      </c>
      <c r="T15" s="84">
        <v>-1277</v>
      </c>
      <c r="U15" s="84">
        <v>9359</v>
      </c>
      <c r="V15" s="84">
        <f>74797+312484</f>
        <v>387281</v>
      </c>
      <c r="W15" s="84">
        <f>142906+953396</f>
        <v>1096302</v>
      </c>
      <c r="X15" s="84">
        <v>1231024</v>
      </c>
      <c r="Y15" s="84">
        <v>3454639</v>
      </c>
      <c r="Z15" s="84">
        <v>398206</v>
      </c>
      <c r="AA15" s="84">
        <v>1124741</v>
      </c>
      <c r="AB15" s="84">
        <v>51</v>
      </c>
      <c r="AC15" s="84">
        <v>51</v>
      </c>
      <c r="AD15" s="84">
        <v>70555</v>
      </c>
      <c r="AE15" s="84">
        <v>208424</v>
      </c>
      <c r="AF15" s="84">
        <v>14289</v>
      </c>
      <c r="AG15" s="84">
        <v>108189</v>
      </c>
      <c r="AH15" s="84"/>
      <c r="AI15" s="84"/>
      <c r="AJ15" s="84"/>
      <c r="AK15" s="84"/>
      <c r="AL15" s="84">
        <v>503321.68109182909</v>
      </c>
      <c r="AM15" s="84">
        <v>1443957.414015949</v>
      </c>
      <c r="AN15" s="84"/>
      <c r="AO15" s="84"/>
      <c r="AP15" s="84"/>
      <c r="AQ15" s="84">
        <v>2748</v>
      </c>
      <c r="AR15" s="84">
        <v>219781</v>
      </c>
      <c r="AS15" s="84">
        <v>710568</v>
      </c>
      <c r="AT15" s="84"/>
      <c r="AU15" s="84"/>
      <c r="AV15" s="84">
        <v>95484</v>
      </c>
      <c r="AW15" s="84">
        <v>269786</v>
      </c>
      <c r="AX15" s="84">
        <v>83169</v>
      </c>
      <c r="AY15" s="84">
        <v>249691</v>
      </c>
      <c r="AZ15" s="84">
        <v>3428</v>
      </c>
      <c r="BA15" s="84">
        <v>9027</v>
      </c>
      <c r="BB15" s="84"/>
      <c r="BC15" s="84"/>
      <c r="BD15" s="84">
        <v>751915</v>
      </c>
      <c r="BE15" s="84">
        <v>2391813</v>
      </c>
      <c r="BF15" s="84">
        <v>2081427</v>
      </c>
      <c r="BG15" s="84">
        <v>5528301</v>
      </c>
      <c r="BH15" s="84">
        <v>866327</v>
      </c>
      <c r="BI15" s="84">
        <v>2726523</v>
      </c>
      <c r="BJ15" s="84">
        <v>938284</v>
      </c>
      <c r="BK15" s="84">
        <v>2549126</v>
      </c>
      <c r="BL15" s="84">
        <f>45586+56150</f>
        <v>101736</v>
      </c>
      <c r="BM15" s="84">
        <f>100172+166470</f>
        <v>266642</v>
      </c>
      <c r="BN15" s="73">
        <f t="shared" ref="BN15:BN19" si="2">SUM(B15+D15+F15+H15+J15+L15+N15+P15+R15+T15+V15+X15+Z15+AB15+AD15+AF15+AH15+AJ15+AL15+AN15+AP15+AR15+AT15+AV15+AX15+AZ15+BB15+BD15+BF15+BH15+BJ15+BL15)</f>
        <v>8627594.6810918301</v>
      </c>
      <c r="BO15" s="73">
        <f t="shared" ref="BO15:BO19" si="3">SUM(C15+E15+G15+I15+K15+M15+O15+Q15+S15+U15+W15+Y15+AA15+AC15+AE15+AG15+AI15+AK15+AM15+AO15+AQ15+AS15+AU15+AW15+AY15+BA15+BC15+BE15+BG15+BI15+BK15+BM15)</f>
        <v>24968820.414015949</v>
      </c>
    </row>
    <row r="16" spans="1:67" x14ac:dyDescent="0.25">
      <c r="A16" s="84" t="s">
        <v>274</v>
      </c>
      <c r="B16" s="84"/>
      <c r="C16" s="84"/>
      <c r="D16" s="84"/>
      <c r="E16" s="84"/>
      <c r="F16" s="84"/>
      <c r="G16" s="84"/>
      <c r="H16" s="84"/>
      <c r="I16" s="84"/>
      <c r="J16" s="84">
        <v>2013</v>
      </c>
      <c r="K16" s="84">
        <v>14078</v>
      </c>
      <c r="L16" s="84"/>
      <c r="M16" s="84"/>
      <c r="N16" s="84"/>
      <c r="O16" s="84"/>
      <c r="P16" s="84"/>
      <c r="Q16" s="84">
        <v>132</v>
      </c>
      <c r="R16" s="84">
        <v>9211</v>
      </c>
      <c r="S16" s="84">
        <v>19909</v>
      </c>
      <c r="T16" s="84"/>
      <c r="U16" s="84">
        <v>1954</v>
      </c>
      <c r="V16" s="84">
        <v>14683</v>
      </c>
      <c r="W16" s="84">
        <v>61495</v>
      </c>
      <c r="X16" s="84">
        <v>14964</v>
      </c>
      <c r="Y16" s="84">
        <v>115009</v>
      </c>
      <c r="Z16" s="84">
        <v>9385</v>
      </c>
      <c r="AA16" s="84">
        <v>16260</v>
      </c>
      <c r="AB16" s="84"/>
      <c r="AC16" s="84"/>
      <c r="AD16" s="84"/>
      <c r="AE16" s="84"/>
      <c r="AF16" s="84">
        <v>-7974</v>
      </c>
      <c r="AG16" s="84">
        <v>17648</v>
      </c>
      <c r="AH16" s="84"/>
      <c r="AI16" s="84"/>
      <c r="AJ16" s="84"/>
      <c r="AK16" s="84"/>
      <c r="AL16" s="84">
        <v>52046.384739999994</v>
      </c>
      <c r="AM16" s="84">
        <v>118597.98222000001</v>
      </c>
      <c r="AN16" s="84"/>
      <c r="AO16" s="84"/>
      <c r="AP16" s="84"/>
      <c r="AQ16" s="84"/>
      <c r="AR16" s="84">
        <v>12634</v>
      </c>
      <c r="AS16" s="84">
        <v>13072</v>
      </c>
      <c r="AT16" s="84"/>
      <c r="AU16" s="84"/>
      <c r="AV16" s="84">
        <v>3218</v>
      </c>
      <c r="AW16" s="84">
        <v>4519</v>
      </c>
      <c r="AX16" s="84">
        <v>17555</v>
      </c>
      <c r="AY16" s="84">
        <v>21444</v>
      </c>
      <c r="AZ16" s="84"/>
      <c r="BA16" s="84"/>
      <c r="BB16" s="84"/>
      <c r="BC16" s="84"/>
      <c r="BD16" s="84">
        <v>60550</v>
      </c>
      <c r="BE16" s="84">
        <v>294726</v>
      </c>
      <c r="BF16" s="84">
        <v>159667</v>
      </c>
      <c r="BG16" s="84">
        <v>414496</v>
      </c>
      <c r="BH16" s="84">
        <v>20552</v>
      </c>
      <c r="BI16" s="84">
        <v>43470</v>
      </c>
      <c r="BJ16" s="84">
        <v>57860</v>
      </c>
      <c r="BK16" s="84">
        <v>113767</v>
      </c>
      <c r="BL16" s="84"/>
      <c r="BM16" s="84"/>
      <c r="BN16" s="73">
        <f t="shared" si="2"/>
        <v>426364.38474000001</v>
      </c>
      <c r="BO16" s="73">
        <f t="shared" si="3"/>
        <v>1270576.9822200001</v>
      </c>
    </row>
    <row r="17" spans="1:67" x14ac:dyDescent="0.25">
      <c r="A17" s="84" t="s">
        <v>275</v>
      </c>
      <c r="B17" s="84"/>
      <c r="C17" s="84"/>
      <c r="D17" s="84"/>
      <c r="E17" s="84"/>
      <c r="F17" s="84"/>
      <c r="G17" s="84"/>
      <c r="H17" s="84">
        <v>93032</v>
      </c>
      <c r="I17" s="84">
        <v>424326</v>
      </c>
      <c r="J17" s="84">
        <v>99986</v>
      </c>
      <c r="K17" s="84">
        <v>235679</v>
      </c>
      <c r="L17" s="84">
        <v>104231</v>
      </c>
      <c r="M17" s="84">
        <v>322301</v>
      </c>
      <c r="N17" s="84"/>
      <c r="O17" s="84"/>
      <c r="P17" s="84">
        <v>16548</v>
      </c>
      <c r="Q17" s="84">
        <v>29173</v>
      </c>
      <c r="R17" s="84">
        <v>22302</v>
      </c>
      <c r="S17" s="84">
        <v>79771</v>
      </c>
      <c r="T17" s="84">
        <v>979</v>
      </c>
      <c r="U17" s="84">
        <v>1560</v>
      </c>
      <c r="V17" s="84">
        <f>-74524-109647</f>
        <v>-184171</v>
      </c>
      <c r="W17" s="84">
        <f>142472-351648</f>
        <v>-209176</v>
      </c>
      <c r="X17" s="84">
        <v>581548</v>
      </c>
      <c r="Y17" s="84">
        <v>1539562</v>
      </c>
      <c r="Z17" s="84">
        <v>211169</v>
      </c>
      <c r="AA17" s="84">
        <v>546297</v>
      </c>
      <c r="AB17" s="84">
        <v>43</v>
      </c>
      <c r="AC17" s="84">
        <v>43</v>
      </c>
      <c r="AD17" s="84">
        <v>3523</v>
      </c>
      <c r="AE17" s="84">
        <v>42803</v>
      </c>
      <c r="AF17" s="84">
        <v>-9421</v>
      </c>
      <c r="AG17" s="84">
        <v>-123566</v>
      </c>
      <c r="AH17" s="84"/>
      <c r="AI17" s="84"/>
      <c r="AJ17" s="84"/>
      <c r="AK17" s="84"/>
      <c r="AL17" s="84">
        <v>229521.49422408614</v>
      </c>
      <c r="AM17" s="84">
        <v>653767.15205558215</v>
      </c>
      <c r="AN17" s="84"/>
      <c r="AO17" s="84"/>
      <c r="AP17" s="84"/>
      <c r="AQ17" s="84">
        <v>692</v>
      </c>
      <c r="AR17" s="84">
        <v>215207</v>
      </c>
      <c r="AS17" s="84">
        <v>626734</v>
      </c>
      <c r="AT17" s="84"/>
      <c r="AU17" s="84"/>
      <c r="AV17" s="84">
        <v>-44574</v>
      </c>
      <c r="AW17" s="84">
        <v>-130703</v>
      </c>
      <c r="AX17" s="84">
        <v>23693</v>
      </c>
      <c r="AY17" s="84">
        <v>69424</v>
      </c>
      <c r="AZ17" s="84">
        <v>1063</v>
      </c>
      <c r="BA17" s="84">
        <v>2779</v>
      </c>
      <c r="BB17" s="84"/>
      <c r="BC17" s="84"/>
      <c r="BD17" s="84">
        <v>120142</v>
      </c>
      <c r="BE17" s="84">
        <v>417565</v>
      </c>
      <c r="BF17" s="84">
        <v>1130493</v>
      </c>
      <c r="BG17" s="84">
        <v>2771158</v>
      </c>
      <c r="BH17" s="84">
        <v>369685</v>
      </c>
      <c r="BI17" s="84">
        <v>1281913</v>
      </c>
      <c r="BJ17" s="84">
        <v>477378</v>
      </c>
      <c r="BK17" s="84">
        <v>1217745</v>
      </c>
      <c r="BL17" s="84">
        <f>34031+55418</f>
        <v>89449</v>
      </c>
      <c r="BM17" s="84">
        <f>74807+163985</f>
        <v>238792</v>
      </c>
      <c r="BN17" s="73">
        <f t="shared" si="2"/>
        <v>3551826.4942240864</v>
      </c>
      <c r="BO17" s="73">
        <f t="shared" si="3"/>
        <v>10038639.152055582</v>
      </c>
    </row>
    <row r="18" spans="1:67" x14ac:dyDescent="0.25">
      <c r="A18" s="84" t="s">
        <v>229</v>
      </c>
      <c r="B18" s="84"/>
      <c r="C18" s="84"/>
      <c r="D18" s="84"/>
      <c r="E18" s="84"/>
      <c r="F18" s="84"/>
      <c r="G18" s="84"/>
      <c r="H18" s="84">
        <v>244995</v>
      </c>
      <c r="I18" s="84">
        <v>813306</v>
      </c>
      <c r="J18" s="84">
        <v>103033</v>
      </c>
      <c r="K18" s="84">
        <v>347963</v>
      </c>
      <c r="L18" s="84">
        <v>69508</v>
      </c>
      <c r="M18" s="84">
        <v>197466</v>
      </c>
      <c r="N18" s="84"/>
      <c r="O18" s="84"/>
      <c r="P18" s="84">
        <v>297</v>
      </c>
      <c r="Q18" s="84">
        <v>880</v>
      </c>
      <c r="R18" s="84">
        <v>139885</v>
      </c>
      <c r="S18" s="84">
        <v>402187</v>
      </c>
      <c r="T18" s="84">
        <v>-2257</v>
      </c>
      <c r="U18" s="84">
        <v>9753</v>
      </c>
      <c r="V18" s="84">
        <f>273+217520</f>
        <v>217793</v>
      </c>
      <c r="W18" s="84">
        <f>434+663243</f>
        <v>663677</v>
      </c>
      <c r="X18" s="84">
        <v>664440</v>
      </c>
      <c r="Y18" s="84">
        <v>2030086</v>
      </c>
      <c r="Z18" s="84">
        <v>196422</v>
      </c>
      <c r="AA18" s="84">
        <v>594704</v>
      </c>
      <c r="AB18" s="84">
        <v>8</v>
      </c>
      <c r="AC18" s="84">
        <v>8</v>
      </c>
      <c r="AD18" s="84">
        <v>67032</v>
      </c>
      <c r="AE18" s="84">
        <v>165621</v>
      </c>
      <c r="AF18" s="84">
        <v>-3106</v>
      </c>
      <c r="AG18" s="84">
        <v>2271</v>
      </c>
      <c r="AH18" s="84"/>
      <c r="AI18" s="84"/>
      <c r="AJ18" s="84"/>
      <c r="AK18" s="84"/>
      <c r="AL18" s="84">
        <v>325846.57160774292</v>
      </c>
      <c r="AM18" s="84">
        <v>908788.24418036675</v>
      </c>
      <c r="AN18" s="84"/>
      <c r="AO18" s="84"/>
      <c r="AP18" s="84"/>
      <c r="AQ18" s="84">
        <v>2055</v>
      </c>
      <c r="AR18" s="84">
        <v>17208</v>
      </c>
      <c r="AS18" s="84">
        <v>96906</v>
      </c>
      <c r="AT18" s="84"/>
      <c r="AU18" s="84"/>
      <c r="AV18" s="84">
        <v>54128</v>
      </c>
      <c r="AW18" s="84">
        <v>143602</v>
      </c>
      <c r="AX18" s="84">
        <v>77031</v>
      </c>
      <c r="AY18" s="84">
        <v>201711</v>
      </c>
      <c r="AZ18" s="84">
        <v>2365</v>
      </c>
      <c r="BA18" s="84">
        <v>6249</v>
      </c>
      <c r="BB18" s="84"/>
      <c r="BC18" s="84"/>
      <c r="BD18" s="84">
        <v>692323</v>
      </c>
      <c r="BE18" s="84">
        <v>2268974</v>
      </c>
      <c r="BF18" s="84">
        <v>1110601</v>
      </c>
      <c r="BG18" s="84">
        <v>3171639</v>
      </c>
      <c r="BH18" s="84">
        <v>517194</v>
      </c>
      <c r="BI18" s="84">
        <v>1488080</v>
      </c>
      <c r="BJ18" s="84">
        <v>518766</v>
      </c>
      <c r="BK18" s="84">
        <v>1445148</v>
      </c>
      <c r="BL18" s="84">
        <f>732+11555</f>
        <v>12287</v>
      </c>
      <c r="BM18" s="84">
        <f>25365+2485</f>
        <v>27850</v>
      </c>
      <c r="BN18" s="73">
        <f t="shared" si="2"/>
        <v>5025799.5716077425</v>
      </c>
      <c r="BO18" s="73">
        <f t="shared" si="3"/>
        <v>14988924.244180366</v>
      </c>
    </row>
    <row r="19" spans="1:67" x14ac:dyDescent="0.25">
      <c r="A19" s="84" t="s">
        <v>230</v>
      </c>
      <c r="B19" s="84"/>
      <c r="C19" s="84"/>
      <c r="D19" s="84"/>
      <c r="E19" s="84"/>
      <c r="F19" s="84"/>
      <c r="G19" s="84"/>
      <c r="H19" s="84">
        <v>289332</v>
      </c>
      <c r="I19" s="84">
        <v>774744</v>
      </c>
      <c r="J19" s="84">
        <v>121230</v>
      </c>
      <c r="K19" s="84">
        <v>336519</v>
      </c>
      <c r="L19" s="84">
        <v>63673</v>
      </c>
      <c r="M19" s="84">
        <v>169334</v>
      </c>
      <c r="N19" s="84"/>
      <c r="O19" s="84"/>
      <c r="P19" s="84">
        <v>205</v>
      </c>
      <c r="Q19" s="84">
        <v>420</v>
      </c>
      <c r="R19" s="84">
        <v>139758</v>
      </c>
      <c r="S19" s="84">
        <v>368360</v>
      </c>
      <c r="T19" s="84">
        <v>651</v>
      </c>
      <c r="U19" s="84">
        <v>4428</v>
      </c>
      <c r="V19" s="84">
        <f>622+198505</f>
        <v>199127</v>
      </c>
      <c r="W19" s="84">
        <f>712+504875</f>
        <v>505587</v>
      </c>
      <c r="X19" s="84">
        <v>744996</v>
      </c>
      <c r="Y19" s="84">
        <v>1872776</v>
      </c>
      <c r="Z19" s="84">
        <v>185024</v>
      </c>
      <c r="AA19" s="84">
        <v>537130</v>
      </c>
      <c r="AB19" s="84">
        <v>-2</v>
      </c>
      <c r="AC19" s="84">
        <v>-2</v>
      </c>
      <c r="AD19" s="84">
        <v>59877</v>
      </c>
      <c r="AE19" s="84">
        <v>145310</v>
      </c>
      <c r="AF19" s="84">
        <v>640</v>
      </c>
      <c r="AG19" s="84">
        <v>5954</v>
      </c>
      <c r="AH19" s="84"/>
      <c r="AI19" s="84"/>
      <c r="AJ19" s="84"/>
      <c r="AK19" s="84"/>
      <c r="AL19" s="84">
        <v>332068.70742774289</v>
      </c>
      <c r="AM19" s="84">
        <v>1007671.5523203667</v>
      </c>
      <c r="AN19" s="84"/>
      <c r="AO19" s="84"/>
      <c r="AP19" s="84">
        <v>795</v>
      </c>
      <c r="AQ19" s="84">
        <v>1683</v>
      </c>
      <c r="AR19" s="84">
        <v>38416</v>
      </c>
      <c r="AS19" s="84">
        <v>134662</v>
      </c>
      <c r="AT19" s="84"/>
      <c r="AU19" s="84"/>
      <c r="AV19" s="84">
        <v>54021</v>
      </c>
      <c r="AW19" s="84">
        <v>149102</v>
      </c>
      <c r="AX19" s="84">
        <v>59003</v>
      </c>
      <c r="AY19" s="84">
        <v>150392</v>
      </c>
      <c r="AZ19" s="84">
        <v>2008</v>
      </c>
      <c r="BA19" s="84">
        <v>5554</v>
      </c>
      <c r="BB19" s="84"/>
      <c r="BC19" s="84"/>
      <c r="BD19" s="84">
        <v>748974</v>
      </c>
      <c r="BE19" s="84">
        <v>2088149</v>
      </c>
      <c r="BF19" s="84">
        <v>1240042</v>
      </c>
      <c r="BG19" s="84">
        <v>3140098</v>
      </c>
      <c r="BH19" s="84">
        <v>502521</v>
      </c>
      <c r="BI19" s="84">
        <v>1556995</v>
      </c>
      <c r="BJ19" s="84">
        <v>376047</v>
      </c>
      <c r="BK19" s="84">
        <v>1533872</v>
      </c>
      <c r="BL19" s="84">
        <f>8375+1339</f>
        <v>9714</v>
      </c>
      <c r="BM19" s="84">
        <f>24635+3018</f>
        <v>27653</v>
      </c>
      <c r="BN19" s="73">
        <f t="shared" si="2"/>
        <v>5168120.7074277429</v>
      </c>
      <c r="BO19" s="73">
        <f t="shared" si="3"/>
        <v>14516391.552320367</v>
      </c>
    </row>
    <row r="21" spans="1:67" x14ac:dyDescent="0.25">
      <c r="A21" s="24" t="s">
        <v>218</v>
      </c>
    </row>
    <row r="22" spans="1:67" x14ac:dyDescent="0.25">
      <c r="A22" s="1" t="s">
        <v>0</v>
      </c>
      <c r="B22" s="103" t="s">
        <v>1</v>
      </c>
      <c r="C22" s="104"/>
      <c r="D22" s="103" t="s">
        <v>282</v>
      </c>
      <c r="E22" s="104"/>
      <c r="F22" s="103" t="s">
        <v>2</v>
      </c>
      <c r="G22" s="104"/>
      <c r="H22" s="103" t="s">
        <v>3</v>
      </c>
      <c r="I22" s="104"/>
      <c r="J22" s="103" t="s">
        <v>4</v>
      </c>
      <c r="K22" s="104"/>
      <c r="L22" s="103" t="s">
        <v>283</v>
      </c>
      <c r="M22" s="104"/>
      <c r="N22" s="103" t="s">
        <v>6</v>
      </c>
      <c r="O22" s="104"/>
      <c r="P22" s="103" t="s">
        <v>5</v>
      </c>
      <c r="Q22" s="104"/>
      <c r="R22" s="103" t="s">
        <v>7</v>
      </c>
      <c r="S22" s="104"/>
      <c r="T22" s="103" t="s">
        <v>284</v>
      </c>
      <c r="U22" s="104"/>
      <c r="V22" s="103" t="s">
        <v>8</v>
      </c>
      <c r="W22" s="104"/>
      <c r="X22" s="103" t="s">
        <v>9</v>
      </c>
      <c r="Y22" s="104"/>
      <c r="Z22" s="103" t="s">
        <v>10</v>
      </c>
      <c r="AA22" s="104"/>
      <c r="AB22" s="103" t="s">
        <v>304</v>
      </c>
      <c r="AC22" s="104"/>
      <c r="AD22" s="103" t="s">
        <v>11</v>
      </c>
      <c r="AE22" s="104"/>
      <c r="AF22" s="103" t="s">
        <v>12</v>
      </c>
      <c r="AG22" s="104"/>
      <c r="AH22" s="103" t="s">
        <v>285</v>
      </c>
      <c r="AI22" s="104"/>
      <c r="AJ22" s="103" t="s">
        <v>290</v>
      </c>
      <c r="AK22" s="104"/>
      <c r="AL22" s="103" t="s">
        <v>13</v>
      </c>
      <c r="AM22" s="104"/>
      <c r="AN22" s="103" t="s">
        <v>286</v>
      </c>
      <c r="AO22" s="104"/>
      <c r="AP22" s="103" t="s">
        <v>287</v>
      </c>
      <c r="AQ22" s="104"/>
      <c r="AR22" s="103" t="s">
        <v>291</v>
      </c>
      <c r="AS22" s="104"/>
      <c r="AT22" s="103" t="s">
        <v>305</v>
      </c>
      <c r="AU22" s="104"/>
      <c r="AV22" s="103" t="s">
        <v>14</v>
      </c>
      <c r="AW22" s="104"/>
      <c r="AX22" s="103" t="s">
        <v>15</v>
      </c>
      <c r="AY22" s="104"/>
      <c r="AZ22" s="103" t="s">
        <v>16</v>
      </c>
      <c r="BA22" s="104"/>
      <c r="BB22" s="103" t="s">
        <v>17</v>
      </c>
      <c r="BC22" s="104"/>
      <c r="BD22" s="103" t="s">
        <v>18</v>
      </c>
      <c r="BE22" s="104"/>
      <c r="BF22" s="103" t="s">
        <v>288</v>
      </c>
      <c r="BG22" s="104"/>
      <c r="BH22" s="103" t="s">
        <v>289</v>
      </c>
      <c r="BI22" s="104"/>
      <c r="BJ22" s="103" t="s">
        <v>19</v>
      </c>
      <c r="BK22" s="104"/>
      <c r="BL22" s="103" t="s">
        <v>20</v>
      </c>
      <c r="BM22" s="104"/>
      <c r="BN22" s="105" t="s">
        <v>21</v>
      </c>
      <c r="BO22" s="106"/>
    </row>
    <row r="23" spans="1:67" ht="30" x14ac:dyDescent="0.25">
      <c r="A23" s="1"/>
      <c r="B23" s="57" t="s">
        <v>293</v>
      </c>
      <c r="C23" s="58" t="s">
        <v>294</v>
      </c>
      <c r="D23" s="57" t="s">
        <v>293</v>
      </c>
      <c r="E23" s="58" t="s">
        <v>294</v>
      </c>
      <c r="F23" s="57" t="s">
        <v>293</v>
      </c>
      <c r="G23" s="58" t="s">
        <v>294</v>
      </c>
      <c r="H23" s="57" t="s">
        <v>293</v>
      </c>
      <c r="I23" s="58" t="s">
        <v>294</v>
      </c>
      <c r="J23" s="57" t="s">
        <v>293</v>
      </c>
      <c r="K23" s="58" t="s">
        <v>294</v>
      </c>
      <c r="L23" s="57" t="s">
        <v>293</v>
      </c>
      <c r="M23" s="58" t="s">
        <v>294</v>
      </c>
      <c r="N23" s="57" t="s">
        <v>293</v>
      </c>
      <c r="O23" s="58" t="s">
        <v>294</v>
      </c>
      <c r="P23" s="57" t="s">
        <v>293</v>
      </c>
      <c r="Q23" s="58" t="s">
        <v>294</v>
      </c>
      <c r="R23" s="57" t="s">
        <v>293</v>
      </c>
      <c r="S23" s="58" t="s">
        <v>294</v>
      </c>
      <c r="T23" s="57" t="s">
        <v>293</v>
      </c>
      <c r="U23" s="58" t="s">
        <v>294</v>
      </c>
      <c r="V23" s="57" t="s">
        <v>293</v>
      </c>
      <c r="W23" s="58" t="s">
        <v>294</v>
      </c>
      <c r="X23" s="57" t="s">
        <v>293</v>
      </c>
      <c r="Y23" s="58" t="s">
        <v>294</v>
      </c>
      <c r="Z23" s="57" t="s">
        <v>293</v>
      </c>
      <c r="AA23" s="58" t="s">
        <v>294</v>
      </c>
      <c r="AB23" s="57" t="s">
        <v>293</v>
      </c>
      <c r="AC23" s="58" t="s">
        <v>294</v>
      </c>
      <c r="AD23" s="57" t="s">
        <v>293</v>
      </c>
      <c r="AE23" s="58" t="s">
        <v>294</v>
      </c>
      <c r="AF23" s="57" t="s">
        <v>293</v>
      </c>
      <c r="AG23" s="58" t="s">
        <v>294</v>
      </c>
      <c r="AH23" s="57" t="s">
        <v>293</v>
      </c>
      <c r="AI23" s="58" t="s">
        <v>294</v>
      </c>
      <c r="AJ23" s="57" t="s">
        <v>293</v>
      </c>
      <c r="AK23" s="58" t="s">
        <v>294</v>
      </c>
      <c r="AL23" s="57" t="s">
        <v>293</v>
      </c>
      <c r="AM23" s="58" t="s">
        <v>294</v>
      </c>
      <c r="AN23" s="57" t="s">
        <v>293</v>
      </c>
      <c r="AO23" s="58" t="s">
        <v>294</v>
      </c>
      <c r="AP23" s="57" t="s">
        <v>293</v>
      </c>
      <c r="AQ23" s="58" t="s">
        <v>294</v>
      </c>
      <c r="AR23" s="57" t="s">
        <v>293</v>
      </c>
      <c r="AS23" s="58" t="s">
        <v>294</v>
      </c>
      <c r="AT23" s="57" t="s">
        <v>293</v>
      </c>
      <c r="AU23" s="58" t="s">
        <v>294</v>
      </c>
      <c r="AV23" s="57" t="s">
        <v>293</v>
      </c>
      <c r="AW23" s="58" t="s">
        <v>294</v>
      </c>
      <c r="AX23" s="57" t="s">
        <v>293</v>
      </c>
      <c r="AY23" s="58" t="s">
        <v>294</v>
      </c>
      <c r="AZ23" s="57" t="s">
        <v>293</v>
      </c>
      <c r="BA23" s="58" t="s">
        <v>294</v>
      </c>
      <c r="BB23" s="57" t="s">
        <v>293</v>
      </c>
      <c r="BC23" s="58" t="s">
        <v>294</v>
      </c>
      <c r="BD23" s="57" t="s">
        <v>293</v>
      </c>
      <c r="BE23" s="58" t="s">
        <v>294</v>
      </c>
      <c r="BF23" s="57" t="s">
        <v>293</v>
      </c>
      <c r="BG23" s="58" t="s">
        <v>294</v>
      </c>
      <c r="BH23" s="57" t="s">
        <v>293</v>
      </c>
      <c r="BI23" s="58" t="s">
        <v>294</v>
      </c>
      <c r="BJ23" s="57" t="s">
        <v>293</v>
      </c>
      <c r="BK23" s="58" t="s">
        <v>294</v>
      </c>
      <c r="BL23" s="57" t="s">
        <v>293</v>
      </c>
      <c r="BM23" s="58" t="s">
        <v>294</v>
      </c>
      <c r="BN23" s="57" t="s">
        <v>293</v>
      </c>
      <c r="BO23" s="58" t="s">
        <v>294</v>
      </c>
    </row>
    <row r="24" spans="1:67" x14ac:dyDescent="0.25">
      <c r="A24" s="84" t="s">
        <v>271</v>
      </c>
      <c r="B24" s="84">
        <v>883961</v>
      </c>
      <c r="C24" s="84">
        <v>1846545</v>
      </c>
      <c r="D24" s="84"/>
      <c r="E24" s="84"/>
      <c r="F24" s="84"/>
      <c r="G24" s="84"/>
      <c r="H24" s="84">
        <v>14245464</v>
      </c>
      <c r="I24" s="84">
        <v>33543356</v>
      </c>
      <c r="J24" s="84">
        <v>4580478</v>
      </c>
      <c r="K24" s="84">
        <v>9529528</v>
      </c>
      <c r="L24" s="84">
        <v>8710240</v>
      </c>
      <c r="M24" s="84">
        <v>21858504</v>
      </c>
      <c r="N24" s="84"/>
      <c r="O24" s="84"/>
      <c r="P24" s="84">
        <v>327153</v>
      </c>
      <c r="Q24" s="84">
        <v>722804</v>
      </c>
      <c r="R24" s="84">
        <v>3934081</v>
      </c>
      <c r="S24" s="84">
        <v>9323573</v>
      </c>
      <c r="T24" s="84">
        <v>5740444</v>
      </c>
      <c r="U24" s="84">
        <v>12864643</v>
      </c>
      <c r="V24" s="84">
        <f>5997826+4655453</f>
        <v>10653279</v>
      </c>
      <c r="W24" s="84">
        <f>13423531+10785089</f>
        <v>24208620</v>
      </c>
      <c r="X24" s="84">
        <v>23961985</v>
      </c>
      <c r="Y24" s="84">
        <v>51477496</v>
      </c>
      <c r="Z24" s="84">
        <v>10109311</v>
      </c>
      <c r="AA24" s="84">
        <v>25429585</v>
      </c>
      <c r="AB24" s="84">
        <v>808736</v>
      </c>
      <c r="AC24" s="84">
        <v>1944834</v>
      </c>
      <c r="AD24" s="84">
        <f>1834318+1292885</f>
        <v>3127203</v>
      </c>
      <c r="AE24" s="84">
        <f>3964925+2903134</f>
        <v>6868059</v>
      </c>
      <c r="AF24" s="84">
        <v>2849371</v>
      </c>
      <c r="AG24" s="84">
        <v>6794470</v>
      </c>
      <c r="AH24" s="84"/>
      <c r="AI24" s="84"/>
      <c r="AJ24" s="84"/>
      <c r="AK24" s="84"/>
      <c r="AL24" s="84">
        <v>13756397.023570705</v>
      </c>
      <c r="AM24" s="84">
        <v>35365234.550687134</v>
      </c>
      <c r="AN24" s="84">
        <v>133763</v>
      </c>
      <c r="AO24" s="84">
        <v>349238</v>
      </c>
      <c r="AP24" s="84">
        <f>127450+397509</f>
        <v>524959</v>
      </c>
      <c r="AQ24" s="84">
        <f>751408+293826</f>
        <v>1045234</v>
      </c>
      <c r="AR24" s="84">
        <v>10071852</v>
      </c>
      <c r="AS24" s="84">
        <v>24463179</v>
      </c>
      <c r="AT24" s="84"/>
      <c r="AU24" s="84"/>
      <c r="AV24" s="84">
        <v>5869172</v>
      </c>
      <c r="AW24" s="84">
        <v>13797398</v>
      </c>
      <c r="AX24" s="84">
        <v>6308211</v>
      </c>
      <c r="AY24" s="84">
        <v>12566722</v>
      </c>
      <c r="AZ24" s="84">
        <v>5231992</v>
      </c>
      <c r="BA24" s="84">
        <v>14950075</v>
      </c>
      <c r="BB24" s="84"/>
      <c r="BC24" s="84"/>
      <c r="BD24" s="84">
        <v>14108393</v>
      </c>
      <c r="BE24" s="84">
        <v>32673576</v>
      </c>
      <c r="BF24" s="84">
        <v>28999830</v>
      </c>
      <c r="BG24" s="84">
        <v>75095255</v>
      </c>
      <c r="BH24" s="84">
        <v>10953434</v>
      </c>
      <c r="BI24" s="84">
        <v>27354693</v>
      </c>
      <c r="BJ24" s="84">
        <v>16134859</v>
      </c>
      <c r="BK24" s="84">
        <v>41843612</v>
      </c>
      <c r="BL24" s="84">
        <f>1295637+920154</f>
        <v>2215791</v>
      </c>
      <c r="BM24" s="84">
        <f>3201177+2581276</f>
        <v>5782453</v>
      </c>
      <c r="BN24" s="73">
        <f t="shared" ref="BN24:BN28" si="4">SUM(B24+D24+F24+H24+J24+L24+N24+P24+R24+T24+V24+X24+Z24+AB24+AD24+AF24+AH24+AJ24+AL24+AN24+AP24+AR24+AT24+AV24+AX24+AZ24+BB24+BD24+BF24+BH24+BJ24+BL24)</f>
        <v>204240359.02357072</v>
      </c>
      <c r="BO24" s="73">
        <f t="shared" ref="BO24:BO28" si="5">SUM(C24+E24+G24+I24+K24+M24+O24+Q24+S24+U24+W24+Y24+AA24+AC24+AE24+AG24+AI24+AK24+AM24+AO24+AQ24+AS24+AU24+AW24+AY24+BA24+BC24+BE24+BG24+BI24+BK24+BM24)</f>
        <v>491698686.55068713</v>
      </c>
    </row>
    <row r="25" spans="1:67" x14ac:dyDescent="0.25">
      <c r="A25" s="84" t="s">
        <v>274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1276815</v>
      </c>
      <c r="U25" s="84">
        <v>2617143</v>
      </c>
      <c r="V25" s="84"/>
      <c r="W25" s="84"/>
      <c r="X25" s="84">
        <v>647</v>
      </c>
      <c r="Y25" s="84">
        <v>158817</v>
      </c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>
        <v>7744.8948114809973</v>
      </c>
      <c r="AM25" s="84">
        <v>16590.641864768997</v>
      </c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>
        <v>23981</v>
      </c>
      <c r="BG25" s="84">
        <v>79892</v>
      </c>
      <c r="BH25" s="84">
        <v>5472</v>
      </c>
      <c r="BI25" s="84">
        <v>9638</v>
      </c>
      <c r="BJ25" s="84">
        <v>0</v>
      </c>
      <c r="BK25" s="84">
        <v>0</v>
      </c>
      <c r="BL25" s="84"/>
      <c r="BM25" s="84"/>
      <c r="BN25" s="73">
        <f t="shared" si="4"/>
        <v>1314659.894811481</v>
      </c>
      <c r="BO25" s="73">
        <f t="shared" si="5"/>
        <v>2882080.6418647692</v>
      </c>
    </row>
    <row r="26" spans="1:67" x14ac:dyDescent="0.25">
      <c r="A26" s="84" t="s">
        <v>275</v>
      </c>
      <c r="B26" s="84">
        <v>573867</v>
      </c>
      <c r="C26" s="84">
        <v>1204276</v>
      </c>
      <c r="D26" s="84"/>
      <c r="E26" s="84"/>
      <c r="F26" s="84"/>
      <c r="G26" s="84"/>
      <c r="H26" s="84">
        <v>1054840</v>
      </c>
      <c r="I26" s="84">
        <v>2972597</v>
      </c>
      <c r="J26" s="84">
        <v>285903</v>
      </c>
      <c r="K26" s="84">
        <v>618767</v>
      </c>
      <c r="L26" s="84">
        <v>1529623</v>
      </c>
      <c r="M26" s="84">
        <v>3750061</v>
      </c>
      <c r="N26" s="84"/>
      <c r="O26" s="84"/>
      <c r="P26" s="84">
        <v>21752</v>
      </c>
      <c r="Q26" s="84">
        <v>52322</v>
      </c>
      <c r="R26" s="84">
        <v>236396</v>
      </c>
      <c r="S26" s="84">
        <v>551914</v>
      </c>
      <c r="T26" s="84">
        <v>350681</v>
      </c>
      <c r="U26" s="84">
        <v>756189</v>
      </c>
      <c r="V26" s="84">
        <f>-2690076-240448</f>
        <v>-2930524</v>
      </c>
      <c r="W26" s="84">
        <f>-6085547-562589</f>
        <v>-6648136</v>
      </c>
      <c r="X26" s="84">
        <v>1248008</v>
      </c>
      <c r="Y26" s="84">
        <v>2803708</v>
      </c>
      <c r="Z26" s="84">
        <v>1491040</v>
      </c>
      <c r="AA26" s="84">
        <v>3743203</v>
      </c>
      <c r="AB26" s="84">
        <v>48697</v>
      </c>
      <c r="AC26" s="84">
        <v>114337</v>
      </c>
      <c r="AD26" s="84">
        <f>94736+64604</f>
        <v>159340</v>
      </c>
      <c r="AE26" s="84">
        <f>233337+171384</f>
        <v>404721</v>
      </c>
      <c r="AF26" s="84">
        <v>-839658</v>
      </c>
      <c r="AG26" s="84">
        <v>-1942421</v>
      </c>
      <c r="AH26" s="84"/>
      <c r="AI26" s="84"/>
      <c r="AJ26" s="84"/>
      <c r="AK26" s="84"/>
      <c r="AL26" s="84">
        <v>947616.74702223996</v>
      </c>
      <c r="AM26" s="84">
        <v>2320399.4480369762</v>
      </c>
      <c r="AN26" s="84">
        <v>-11687</v>
      </c>
      <c r="AO26" s="84">
        <v>-35063</v>
      </c>
      <c r="AP26" s="84">
        <f>9085+25024</f>
        <v>34109</v>
      </c>
      <c r="AQ26" s="84">
        <f>48284+20898</f>
        <v>69182</v>
      </c>
      <c r="AR26" s="84">
        <v>2819984</v>
      </c>
      <c r="AS26" s="84">
        <v>7254958</v>
      </c>
      <c r="AT26" s="84"/>
      <c r="AU26" s="84"/>
      <c r="AV26" s="84">
        <v>-890167</v>
      </c>
      <c r="AW26" s="84">
        <v>-2229106</v>
      </c>
      <c r="AX26" s="84">
        <v>2639369</v>
      </c>
      <c r="AY26" s="84">
        <v>5381103</v>
      </c>
      <c r="AZ26" s="84">
        <v>286010</v>
      </c>
      <c r="BA26" s="84">
        <v>823294</v>
      </c>
      <c r="BB26" s="84"/>
      <c r="BC26" s="84"/>
      <c r="BD26" s="84">
        <v>1981537</v>
      </c>
      <c r="BE26" s="84">
        <v>5495536</v>
      </c>
      <c r="BF26" s="84">
        <v>1790120</v>
      </c>
      <c r="BG26" s="84">
        <v>4517861</v>
      </c>
      <c r="BH26" s="84">
        <v>591646</v>
      </c>
      <c r="BI26" s="84">
        <v>1453081</v>
      </c>
      <c r="BJ26" s="84">
        <v>806743</v>
      </c>
      <c r="BK26" s="84">
        <v>2133203</v>
      </c>
      <c r="BL26" s="84">
        <f>71890+60057</f>
        <v>131947</v>
      </c>
      <c r="BM26" s="84">
        <f>181474+173772</f>
        <v>355246</v>
      </c>
      <c r="BN26" s="73">
        <f t="shared" si="4"/>
        <v>14357192.747022239</v>
      </c>
      <c r="BO26" s="73">
        <f t="shared" si="5"/>
        <v>35921232.448036976</v>
      </c>
    </row>
    <row r="27" spans="1:67" x14ac:dyDescent="0.25">
      <c r="A27" s="84" t="s">
        <v>229</v>
      </c>
      <c r="B27" s="84">
        <v>310094</v>
      </c>
      <c r="C27" s="84">
        <v>642269</v>
      </c>
      <c r="D27" s="84"/>
      <c r="E27" s="84"/>
      <c r="F27" s="84"/>
      <c r="G27" s="84"/>
      <c r="H27" s="84">
        <v>13190624</v>
      </c>
      <c r="I27" s="84">
        <v>30570759</v>
      </c>
      <c r="J27" s="84">
        <v>4294574</v>
      </c>
      <c r="K27" s="84">
        <v>8910760</v>
      </c>
      <c r="L27" s="84">
        <v>7180617</v>
      </c>
      <c r="M27" s="84">
        <v>18108443</v>
      </c>
      <c r="N27" s="84"/>
      <c r="O27" s="84"/>
      <c r="P27" s="84">
        <v>305401</v>
      </c>
      <c r="Q27" s="84">
        <v>670482</v>
      </c>
      <c r="R27" s="84">
        <v>3697685</v>
      </c>
      <c r="S27" s="84">
        <v>8771658</v>
      </c>
      <c r="T27" s="84">
        <v>6666578</v>
      </c>
      <c r="U27" s="84">
        <v>14725596</v>
      </c>
      <c r="V27" s="84">
        <f>3307750+4415005</f>
        <v>7722755</v>
      </c>
      <c r="W27" s="84">
        <f>7337984+10222500</f>
        <v>17560484</v>
      </c>
      <c r="X27" s="84">
        <v>22714624</v>
      </c>
      <c r="Y27" s="84">
        <v>48832605</v>
      </c>
      <c r="Z27" s="84">
        <v>8618271</v>
      </c>
      <c r="AA27" s="84">
        <v>21686382</v>
      </c>
      <c r="AB27" s="84">
        <v>760039</v>
      </c>
      <c r="AC27" s="84">
        <v>1830497</v>
      </c>
      <c r="AD27" s="84">
        <f>1739582+1228281</f>
        <v>2967863</v>
      </c>
      <c r="AE27" s="84">
        <f>3731588+2731750</f>
        <v>6463338</v>
      </c>
      <c r="AF27" s="84">
        <v>2009713</v>
      </c>
      <c r="AG27" s="84">
        <v>4852049</v>
      </c>
      <c r="AH27" s="84"/>
      <c r="AI27" s="84"/>
      <c r="AJ27" s="84"/>
      <c r="AK27" s="84"/>
      <c r="AL27" s="84">
        <v>12816525.171359947</v>
      </c>
      <c r="AM27" s="84">
        <v>33061425.744514927</v>
      </c>
      <c r="AN27" s="84">
        <v>122076</v>
      </c>
      <c r="AO27" s="84">
        <v>314175</v>
      </c>
      <c r="AP27" s="84">
        <f>118366+372485</f>
        <v>490851</v>
      </c>
      <c r="AQ27" s="84">
        <f>703124+272928</f>
        <v>976052</v>
      </c>
      <c r="AR27" s="84">
        <v>7251868</v>
      </c>
      <c r="AS27" s="84">
        <v>17208221</v>
      </c>
      <c r="AT27" s="84"/>
      <c r="AU27" s="84"/>
      <c r="AV27" s="84">
        <v>4979005</v>
      </c>
      <c r="AW27" s="84">
        <v>11568292</v>
      </c>
      <c r="AX27" s="84">
        <v>3668842</v>
      </c>
      <c r="AY27" s="84">
        <v>7185619</v>
      </c>
      <c r="AZ27" s="84">
        <v>4945982</v>
      </c>
      <c r="BA27" s="84">
        <v>14126782</v>
      </c>
      <c r="BB27" s="84"/>
      <c r="BC27" s="84"/>
      <c r="BD27" s="84">
        <v>12126856</v>
      </c>
      <c r="BE27" s="84">
        <v>27178040</v>
      </c>
      <c r="BF27" s="84">
        <v>27233691</v>
      </c>
      <c r="BG27" s="84">
        <v>70657286</v>
      </c>
      <c r="BH27" s="84">
        <v>10367260</v>
      </c>
      <c r="BI27" s="84">
        <v>25911250</v>
      </c>
      <c r="BJ27" s="84">
        <v>15328116</v>
      </c>
      <c r="BK27" s="84">
        <v>39710409</v>
      </c>
      <c r="BL27" s="84">
        <f>1223747+860097</f>
        <v>2083844</v>
      </c>
      <c r="BM27" s="84">
        <f>3019703+2407504</f>
        <v>5427207</v>
      </c>
      <c r="BN27" s="73">
        <f t="shared" si="4"/>
        <v>181853754.17135996</v>
      </c>
      <c r="BO27" s="73">
        <f t="shared" si="5"/>
        <v>436950080.74451494</v>
      </c>
    </row>
    <row r="28" spans="1:67" x14ac:dyDescent="0.25">
      <c r="A28" s="84" t="s">
        <v>230</v>
      </c>
      <c r="B28" s="84">
        <v>199014</v>
      </c>
      <c r="C28" s="84">
        <v>563498</v>
      </c>
      <c r="D28" s="84"/>
      <c r="E28" s="84"/>
      <c r="F28" s="84"/>
      <c r="G28" s="84"/>
      <c r="H28" s="84">
        <v>10527810</v>
      </c>
      <c r="I28" s="84">
        <v>32988628</v>
      </c>
      <c r="J28" s="84">
        <v>3040225</v>
      </c>
      <c r="K28" s="84">
        <v>9398035</v>
      </c>
      <c r="L28" s="84">
        <v>6132348</v>
      </c>
      <c r="M28" s="84">
        <v>18784467</v>
      </c>
      <c r="N28" s="84"/>
      <c r="O28" s="84"/>
      <c r="P28" s="84">
        <v>246027</v>
      </c>
      <c r="Q28" s="84">
        <v>668836</v>
      </c>
      <c r="R28" s="84">
        <v>3083276</v>
      </c>
      <c r="S28" s="84">
        <v>9169440</v>
      </c>
      <c r="T28" s="84">
        <v>4497999</v>
      </c>
      <c r="U28" s="84">
        <v>12011556</v>
      </c>
      <c r="V28" s="84">
        <f>2866846+3186684</f>
        <v>6053530</v>
      </c>
      <c r="W28" s="84">
        <f>8743459+9204057</f>
        <v>17947516</v>
      </c>
      <c r="X28" s="84">
        <v>15885816</v>
      </c>
      <c r="Y28" s="84">
        <v>45506848</v>
      </c>
      <c r="Z28" s="84">
        <v>7294578</v>
      </c>
      <c r="AA28" s="84">
        <v>21111070</v>
      </c>
      <c r="AB28" s="84">
        <v>611780</v>
      </c>
      <c r="AC28" s="84">
        <v>1789745</v>
      </c>
      <c r="AD28" s="84">
        <f>1267748+955065</f>
        <v>2222813</v>
      </c>
      <c r="AE28" s="84">
        <f>3896183+2953702</f>
        <v>6849885</v>
      </c>
      <c r="AF28" s="84">
        <v>1697125</v>
      </c>
      <c r="AG28" s="84">
        <v>5187920</v>
      </c>
      <c r="AH28" s="84"/>
      <c r="AI28" s="84"/>
      <c r="AJ28" s="84"/>
      <c r="AK28" s="84"/>
      <c r="AL28" s="84">
        <v>12053735.711359948</v>
      </c>
      <c r="AM28" s="84">
        <v>32820157.986514926</v>
      </c>
      <c r="AN28" s="84">
        <v>123716</v>
      </c>
      <c r="AO28" s="84">
        <v>400027</v>
      </c>
      <c r="AP28" s="84">
        <f>164035+175696</f>
        <v>339731</v>
      </c>
      <c r="AQ28" s="84">
        <f>266291+586091</f>
        <v>852382</v>
      </c>
      <c r="AR28" s="84">
        <v>5092101</v>
      </c>
      <c r="AS28" s="84">
        <v>14724530</v>
      </c>
      <c r="AT28" s="84"/>
      <c r="AU28" s="84"/>
      <c r="AV28" s="84">
        <v>3971405</v>
      </c>
      <c r="AW28" s="84">
        <v>12170014</v>
      </c>
      <c r="AX28" s="84">
        <v>2445924</v>
      </c>
      <c r="AY28" s="84">
        <v>7219507</v>
      </c>
      <c r="AZ28" s="84">
        <v>5184535</v>
      </c>
      <c r="BA28" s="84">
        <v>16061916</v>
      </c>
      <c r="BB28" s="84"/>
      <c r="BC28" s="84"/>
      <c r="BD28" s="84">
        <v>8417753</v>
      </c>
      <c r="BE28" s="84">
        <v>24147263</v>
      </c>
      <c r="BF28" s="84">
        <v>24402965</v>
      </c>
      <c r="BG28" s="84">
        <v>72901334</v>
      </c>
      <c r="BH28" s="84">
        <v>10536193</v>
      </c>
      <c r="BI28" s="84">
        <v>28140907</v>
      </c>
      <c r="BJ28" s="84">
        <v>15623031</v>
      </c>
      <c r="BK28" s="84">
        <v>43197095</v>
      </c>
      <c r="BL28" s="84">
        <f>1018389+1123680</f>
        <v>2142069</v>
      </c>
      <c r="BM28" s="84">
        <f>2921306+3416993</f>
        <v>6338299</v>
      </c>
      <c r="BN28" s="73">
        <f t="shared" si="4"/>
        <v>151825499.71135995</v>
      </c>
      <c r="BO28" s="73">
        <f t="shared" si="5"/>
        <v>440950875.98651493</v>
      </c>
    </row>
    <row r="30" spans="1:67" x14ac:dyDescent="0.25">
      <c r="A30" s="24" t="s">
        <v>219</v>
      </c>
    </row>
    <row r="31" spans="1:67" x14ac:dyDescent="0.25">
      <c r="A31" s="1" t="s">
        <v>0</v>
      </c>
      <c r="B31" s="103" t="s">
        <v>1</v>
      </c>
      <c r="C31" s="104"/>
      <c r="D31" s="103" t="s">
        <v>282</v>
      </c>
      <c r="E31" s="104"/>
      <c r="F31" s="103" t="s">
        <v>2</v>
      </c>
      <c r="G31" s="104"/>
      <c r="H31" s="103" t="s">
        <v>3</v>
      </c>
      <c r="I31" s="104"/>
      <c r="J31" s="103" t="s">
        <v>4</v>
      </c>
      <c r="K31" s="104"/>
      <c r="L31" s="103" t="s">
        <v>283</v>
      </c>
      <c r="M31" s="104"/>
      <c r="N31" s="103" t="s">
        <v>6</v>
      </c>
      <c r="O31" s="104"/>
      <c r="P31" s="103" t="s">
        <v>5</v>
      </c>
      <c r="Q31" s="104"/>
      <c r="R31" s="103" t="s">
        <v>7</v>
      </c>
      <c r="S31" s="104"/>
      <c r="T31" s="103" t="s">
        <v>284</v>
      </c>
      <c r="U31" s="104"/>
      <c r="V31" s="103" t="s">
        <v>8</v>
      </c>
      <c r="W31" s="104"/>
      <c r="X31" s="103" t="s">
        <v>9</v>
      </c>
      <c r="Y31" s="104"/>
      <c r="Z31" s="103" t="s">
        <v>10</v>
      </c>
      <c r="AA31" s="104"/>
      <c r="AB31" s="103" t="s">
        <v>304</v>
      </c>
      <c r="AC31" s="104"/>
      <c r="AD31" s="103" t="s">
        <v>11</v>
      </c>
      <c r="AE31" s="104"/>
      <c r="AF31" s="103" t="s">
        <v>12</v>
      </c>
      <c r="AG31" s="104"/>
      <c r="AH31" s="103" t="s">
        <v>285</v>
      </c>
      <c r="AI31" s="104"/>
      <c r="AJ31" s="103" t="s">
        <v>290</v>
      </c>
      <c r="AK31" s="104"/>
      <c r="AL31" s="103" t="s">
        <v>13</v>
      </c>
      <c r="AM31" s="104"/>
      <c r="AN31" s="103" t="s">
        <v>286</v>
      </c>
      <c r="AO31" s="104"/>
      <c r="AP31" s="103" t="s">
        <v>287</v>
      </c>
      <c r="AQ31" s="104"/>
      <c r="AR31" s="103" t="s">
        <v>291</v>
      </c>
      <c r="AS31" s="104"/>
      <c r="AT31" s="103" t="s">
        <v>305</v>
      </c>
      <c r="AU31" s="104"/>
      <c r="AV31" s="103" t="s">
        <v>14</v>
      </c>
      <c r="AW31" s="104"/>
      <c r="AX31" s="103" t="s">
        <v>15</v>
      </c>
      <c r="AY31" s="104"/>
      <c r="AZ31" s="103" t="s">
        <v>16</v>
      </c>
      <c r="BA31" s="104"/>
      <c r="BB31" s="103" t="s">
        <v>17</v>
      </c>
      <c r="BC31" s="104"/>
      <c r="BD31" s="103" t="s">
        <v>18</v>
      </c>
      <c r="BE31" s="104"/>
      <c r="BF31" s="103" t="s">
        <v>288</v>
      </c>
      <c r="BG31" s="104"/>
      <c r="BH31" s="103" t="s">
        <v>289</v>
      </c>
      <c r="BI31" s="104"/>
      <c r="BJ31" s="103" t="s">
        <v>19</v>
      </c>
      <c r="BK31" s="104"/>
      <c r="BL31" s="103" t="s">
        <v>20</v>
      </c>
      <c r="BM31" s="104"/>
      <c r="BN31" s="105" t="s">
        <v>21</v>
      </c>
      <c r="BO31" s="106"/>
    </row>
    <row r="32" spans="1:67" ht="30" x14ac:dyDescent="0.25">
      <c r="A32" s="1"/>
      <c r="B32" s="57" t="s">
        <v>293</v>
      </c>
      <c r="C32" s="58" t="s">
        <v>294</v>
      </c>
      <c r="D32" s="57" t="s">
        <v>293</v>
      </c>
      <c r="E32" s="58" t="s">
        <v>294</v>
      </c>
      <c r="F32" s="57" t="s">
        <v>293</v>
      </c>
      <c r="G32" s="58" t="s">
        <v>294</v>
      </c>
      <c r="H32" s="57" t="s">
        <v>293</v>
      </c>
      <c r="I32" s="58" t="s">
        <v>294</v>
      </c>
      <c r="J32" s="57" t="s">
        <v>293</v>
      </c>
      <c r="K32" s="58" t="s">
        <v>294</v>
      </c>
      <c r="L32" s="57" t="s">
        <v>293</v>
      </c>
      <c r="M32" s="58" t="s">
        <v>294</v>
      </c>
      <c r="N32" s="57" t="s">
        <v>293</v>
      </c>
      <c r="O32" s="58" t="s">
        <v>294</v>
      </c>
      <c r="P32" s="57" t="s">
        <v>293</v>
      </c>
      <c r="Q32" s="58" t="s">
        <v>294</v>
      </c>
      <c r="R32" s="57" t="s">
        <v>293</v>
      </c>
      <c r="S32" s="58" t="s">
        <v>294</v>
      </c>
      <c r="T32" s="57" t="s">
        <v>293</v>
      </c>
      <c r="U32" s="58" t="s">
        <v>294</v>
      </c>
      <c r="V32" s="57" t="s">
        <v>293</v>
      </c>
      <c r="W32" s="58" t="s">
        <v>294</v>
      </c>
      <c r="X32" s="57" t="s">
        <v>293</v>
      </c>
      <c r="Y32" s="58" t="s">
        <v>294</v>
      </c>
      <c r="Z32" s="57" t="s">
        <v>293</v>
      </c>
      <c r="AA32" s="58" t="s">
        <v>294</v>
      </c>
      <c r="AB32" s="57" t="s">
        <v>293</v>
      </c>
      <c r="AC32" s="58" t="s">
        <v>294</v>
      </c>
      <c r="AD32" s="57" t="s">
        <v>293</v>
      </c>
      <c r="AE32" s="58" t="s">
        <v>294</v>
      </c>
      <c r="AF32" s="57" t="s">
        <v>293</v>
      </c>
      <c r="AG32" s="58" t="s">
        <v>294</v>
      </c>
      <c r="AH32" s="57" t="s">
        <v>293</v>
      </c>
      <c r="AI32" s="58" t="s">
        <v>294</v>
      </c>
      <c r="AJ32" s="57" t="s">
        <v>293</v>
      </c>
      <c r="AK32" s="58" t="s">
        <v>294</v>
      </c>
      <c r="AL32" s="57" t="s">
        <v>293</v>
      </c>
      <c r="AM32" s="58" t="s">
        <v>294</v>
      </c>
      <c r="AN32" s="57" t="s">
        <v>293</v>
      </c>
      <c r="AO32" s="58" t="s">
        <v>294</v>
      </c>
      <c r="AP32" s="57" t="s">
        <v>293</v>
      </c>
      <c r="AQ32" s="58" t="s">
        <v>294</v>
      </c>
      <c r="AR32" s="57" t="s">
        <v>293</v>
      </c>
      <c r="AS32" s="58" t="s">
        <v>294</v>
      </c>
      <c r="AT32" s="57" t="s">
        <v>293</v>
      </c>
      <c r="AU32" s="58" t="s">
        <v>294</v>
      </c>
      <c r="AV32" s="57" t="s">
        <v>293</v>
      </c>
      <c r="AW32" s="58" t="s">
        <v>294</v>
      </c>
      <c r="AX32" s="57" t="s">
        <v>293</v>
      </c>
      <c r="AY32" s="58" t="s">
        <v>294</v>
      </c>
      <c r="AZ32" s="57" t="s">
        <v>293</v>
      </c>
      <c r="BA32" s="58" t="s">
        <v>294</v>
      </c>
      <c r="BB32" s="57" t="s">
        <v>293</v>
      </c>
      <c r="BC32" s="58" t="s">
        <v>294</v>
      </c>
      <c r="BD32" s="57" t="s">
        <v>293</v>
      </c>
      <c r="BE32" s="58" t="s">
        <v>294</v>
      </c>
      <c r="BF32" s="57" t="s">
        <v>293</v>
      </c>
      <c r="BG32" s="58" t="s">
        <v>294</v>
      </c>
      <c r="BH32" s="57" t="s">
        <v>293</v>
      </c>
      <c r="BI32" s="58" t="s">
        <v>294</v>
      </c>
      <c r="BJ32" s="57" t="s">
        <v>293</v>
      </c>
      <c r="BK32" s="58" t="s">
        <v>294</v>
      </c>
      <c r="BL32" s="57" t="s">
        <v>293</v>
      </c>
      <c r="BM32" s="58" t="s">
        <v>294</v>
      </c>
      <c r="BN32" s="57" t="s">
        <v>293</v>
      </c>
      <c r="BO32" s="58" t="s">
        <v>294</v>
      </c>
    </row>
    <row r="33" spans="1:67" x14ac:dyDescent="0.25">
      <c r="A33" s="84" t="s">
        <v>271</v>
      </c>
      <c r="B33" s="84"/>
      <c r="C33" s="84"/>
      <c r="D33" s="84"/>
      <c r="E33" s="84"/>
      <c r="F33" s="84"/>
      <c r="G33" s="84"/>
      <c r="H33" s="84">
        <v>439573</v>
      </c>
      <c r="I33" s="84">
        <v>1611975</v>
      </c>
      <c r="J33" s="84">
        <v>102837</v>
      </c>
      <c r="K33" s="84">
        <v>298457</v>
      </c>
      <c r="L33" s="84">
        <v>66384</v>
      </c>
      <c r="M33" s="84">
        <v>219240</v>
      </c>
      <c r="N33" s="84"/>
      <c r="O33" s="84"/>
      <c r="P33" s="84">
        <v>2834</v>
      </c>
      <c r="Q33" s="84">
        <v>4217</v>
      </c>
      <c r="R33" s="84">
        <v>117775</v>
      </c>
      <c r="S33" s="84">
        <v>333072</v>
      </c>
      <c r="T33" s="84">
        <v>18970</v>
      </c>
      <c r="U33" s="84">
        <v>55418</v>
      </c>
      <c r="V33" s="84">
        <v>472695</v>
      </c>
      <c r="W33" s="84">
        <v>1330851</v>
      </c>
      <c r="X33" s="84">
        <v>1064581</v>
      </c>
      <c r="Y33" s="84">
        <v>2869323</v>
      </c>
      <c r="Z33" s="84">
        <v>262124</v>
      </c>
      <c r="AA33" s="84">
        <v>715830</v>
      </c>
      <c r="AB33" s="84">
        <v>3953</v>
      </c>
      <c r="AC33" s="84">
        <v>6670</v>
      </c>
      <c r="AD33" s="84">
        <v>59246</v>
      </c>
      <c r="AE33" s="84">
        <v>212275</v>
      </c>
      <c r="AF33" s="84">
        <v>13286</v>
      </c>
      <c r="AG33" s="84">
        <v>45058</v>
      </c>
      <c r="AH33" s="84"/>
      <c r="AI33" s="84"/>
      <c r="AJ33" s="84"/>
      <c r="AK33" s="84"/>
      <c r="AL33" s="84">
        <v>657607.136833278</v>
      </c>
      <c r="AM33" s="84">
        <v>1853767.257938206</v>
      </c>
      <c r="AN33" s="84"/>
      <c r="AO33" s="84"/>
      <c r="AP33" s="84">
        <v>3541</v>
      </c>
      <c r="AQ33" s="84">
        <v>6547</v>
      </c>
      <c r="AR33" s="84">
        <v>328514</v>
      </c>
      <c r="AS33" s="84">
        <v>1129599</v>
      </c>
      <c r="AT33" s="84"/>
      <c r="AU33" s="84"/>
      <c r="AV33" s="84">
        <v>226861</v>
      </c>
      <c r="AW33" s="84">
        <v>479869</v>
      </c>
      <c r="AX33" s="84">
        <v>95311</v>
      </c>
      <c r="AY33" s="84">
        <v>295709</v>
      </c>
      <c r="AZ33" s="84">
        <v>39196</v>
      </c>
      <c r="BA33" s="84">
        <v>105330</v>
      </c>
      <c r="BB33" s="84"/>
      <c r="BC33" s="84"/>
      <c r="BD33" s="84">
        <v>193541</v>
      </c>
      <c r="BE33" s="84">
        <v>522393</v>
      </c>
      <c r="BF33" s="84">
        <v>1691485</v>
      </c>
      <c r="BG33" s="84">
        <v>4891767</v>
      </c>
      <c r="BH33" s="84">
        <v>536984</v>
      </c>
      <c r="BI33" s="84">
        <v>1669078</v>
      </c>
      <c r="BJ33" s="84">
        <v>868181</v>
      </c>
      <c r="BK33" s="84">
        <v>2800049</v>
      </c>
      <c r="BL33" s="84">
        <v>16608</v>
      </c>
      <c r="BM33" s="84">
        <v>66595</v>
      </c>
      <c r="BN33" s="73">
        <f t="shared" ref="BN33:BN37" si="6">SUM(B33+D33+F33+H33+J33+L33+N33+P33+R33+T33+V33+X33+Z33+AB33+AD33+AF33+AH33+AJ33+AL33+AN33+AP33+AR33+AT33+AV33+AX33+AZ33+BB33+BD33+BF33+BH33+BJ33+BL33)</f>
        <v>7282087.1368332785</v>
      </c>
      <c r="BO33" s="73">
        <f t="shared" ref="BO33:BO37" si="7">SUM(C33+E33+G33+I33+K33+M33+O33+Q33+S33+U33+W33+Y33+AA33+AC33+AE33+AG33+AI33+AK33+AM33+AO33+AQ33+AS33+AU33+AW33+AY33+BA33+BC33+BE33+BG33+BI33+BK33+BM33)</f>
        <v>21523089.257938206</v>
      </c>
    </row>
    <row r="34" spans="1:67" x14ac:dyDescent="0.25">
      <c r="A34" s="84" t="s">
        <v>274</v>
      </c>
      <c r="B34" s="84"/>
      <c r="C34" s="84"/>
      <c r="D34" s="84"/>
      <c r="E34" s="84"/>
      <c r="F34" s="84"/>
      <c r="G34" s="84"/>
      <c r="H34" s="84">
        <v>12597</v>
      </c>
      <c r="I34" s="84">
        <v>34704</v>
      </c>
      <c r="J34" s="84">
        <v>3850</v>
      </c>
      <c r="K34" s="84">
        <v>12711</v>
      </c>
      <c r="L34" s="84">
        <v>3659</v>
      </c>
      <c r="M34" s="84">
        <v>11298</v>
      </c>
      <c r="N34" s="84"/>
      <c r="O34" s="84"/>
      <c r="P34" s="84">
        <v>1029</v>
      </c>
      <c r="Q34" s="84">
        <v>3135</v>
      </c>
      <c r="R34" s="84">
        <v>11046</v>
      </c>
      <c r="S34" s="84">
        <v>28705</v>
      </c>
      <c r="T34" s="84">
        <v>4638</v>
      </c>
      <c r="U34" s="84">
        <v>15951</v>
      </c>
      <c r="V34" s="84">
        <v>15435</v>
      </c>
      <c r="W34" s="84">
        <v>73207</v>
      </c>
      <c r="X34" s="84">
        <v>69681</v>
      </c>
      <c r="Y34" s="84">
        <v>204095</v>
      </c>
      <c r="Z34" s="84">
        <v>7520</v>
      </c>
      <c r="AA34" s="84">
        <v>28756</v>
      </c>
      <c r="AB34" s="84">
        <v>1029</v>
      </c>
      <c r="AC34" s="84">
        <v>3135</v>
      </c>
      <c r="AD34" s="84">
        <v>3309</v>
      </c>
      <c r="AE34" s="84">
        <v>8442</v>
      </c>
      <c r="AF34" s="84">
        <v>4659</v>
      </c>
      <c r="AG34" s="84">
        <v>11701</v>
      </c>
      <c r="AH34" s="84"/>
      <c r="AI34" s="84"/>
      <c r="AJ34" s="84"/>
      <c r="AK34" s="84"/>
      <c r="AL34" s="84">
        <v>43932.207008093028</v>
      </c>
      <c r="AM34" s="84">
        <v>174797.73823111702</v>
      </c>
      <c r="AN34" s="84">
        <v>206</v>
      </c>
      <c r="AO34" s="84">
        <v>627</v>
      </c>
      <c r="AP34" s="84">
        <v>103</v>
      </c>
      <c r="AQ34" s="84">
        <v>458</v>
      </c>
      <c r="AR34" s="84">
        <v>13670</v>
      </c>
      <c r="AS34" s="84">
        <v>24321</v>
      </c>
      <c r="AT34" s="84"/>
      <c r="AU34" s="84"/>
      <c r="AV34" s="84">
        <v>24486</v>
      </c>
      <c r="AW34" s="84">
        <v>39251</v>
      </c>
      <c r="AX34" s="84">
        <v>1607</v>
      </c>
      <c r="AY34" s="84">
        <v>4896</v>
      </c>
      <c r="AZ34" s="84">
        <v>1855</v>
      </c>
      <c r="BA34" s="84">
        <v>6684</v>
      </c>
      <c r="BB34" s="84"/>
      <c r="BC34" s="84"/>
      <c r="BD34" s="84">
        <v>14964</v>
      </c>
      <c r="BE34" s="84">
        <v>54631</v>
      </c>
      <c r="BF34" s="84">
        <v>97050</v>
      </c>
      <c r="BG34" s="84">
        <v>307686</v>
      </c>
      <c r="BH34" s="84">
        <v>112618</v>
      </c>
      <c r="BI34" s="84">
        <v>229465</v>
      </c>
      <c r="BJ34" s="84">
        <v>67441</v>
      </c>
      <c r="BK34" s="84">
        <v>140856</v>
      </c>
      <c r="BL34" s="84">
        <v>1029</v>
      </c>
      <c r="BM34" s="84">
        <v>3135</v>
      </c>
      <c r="BN34" s="73">
        <f t="shared" si="6"/>
        <v>517413.20700809301</v>
      </c>
      <c r="BO34" s="73">
        <f t="shared" si="7"/>
        <v>1422647.7382311169</v>
      </c>
    </row>
    <row r="35" spans="1:67" x14ac:dyDescent="0.25">
      <c r="A35" s="84" t="s">
        <v>275</v>
      </c>
      <c r="B35" s="84"/>
      <c r="C35" s="84"/>
      <c r="D35" s="84"/>
      <c r="E35" s="84"/>
      <c r="F35" s="84"/>
      <c r="G35" s="84"/>
      <c r="H35" s="84">
        <v>393186</v>
      </c>
      <c r="I35" s="84">
        <v>1465999</v>
      </c>
      <c r="J35" s="84">
        <v>88870</v>
      </c>
      <c r="K35" s="84">
        <v>256138</v>
      </c>
      <c r="L35" s="84">
        <v>40123</v>
      </c>
      <c r="M35" s="84">
        <v>137616</v>
      </c>
      <c r="N35" s="84"/>
      <c r="O35" s="84"/>
      <c r="P35" s="84">
        <v>2800</v>
      </c>
      <c r="Q35" s="84">
        <v>4218</v>
      </c>
      <c r="R35" s="84">
        <v>100486</v>
      </c>
      <c r="S35" s="84">
        <v>295392</v>
      </c>
      <c r="T35" s="84">
        <v>17031</v>
      </c>
      <c r="U35" s="84">
        <v>53850</v>
      </c>
      <c r="V35" s="84">
        <v>-336043</v>
      </c>
      <c r="W35" s="84">
        <v>-957045</v>
      </c>
      <c r="X35" s="84">
        <v>756171</v>
      </c>
      <c r="Y35" s="84">
        <v>2055856</v>
      </c>
      <c r="Z35" s="84">
        <v>229219</v>
      </c>
      <c r="AA35" s="84">
        <v>622296</v>
      </c>
      <c r="AB35" s="84">
        <v>3428</v>
      </c>
      <c r="AC35" s="84">
        <v>5841</v>
      </c>
      <c r="AD35" s="84">
        <v>42480</v>
      </c>
      <c r="AE35" s="84">
        <v>198882</v>
      </c>
      <c r="AF35" s="84">
        <v>-15763</v>
      </c>
      <c r="AG35" s="84">
        <v>-47019</v>
      </c>
      <c r="AH35" s="84"/>
      <c r="AI35" s="84"/>
      <c r="AJ35" s="84"/>
      <c r="AK35" s="84"/>
      <c r="AL35" s="84">
        <v>195403.73369336798</v>
      </c>
      <c r="AM35" s="84">
        <v>611899.1152764</v>
      </c>
      <c r="AN35" s="84">
        <v>-26</v>
      </c>
      <c r="AO35" s="84">
        <v>-50</v>
      </c>
      <c r="AP35" s="84">
        <v>3038</v>
      </c>
      <c r="AQ35" s="84">
        <v>5648</v>
      </c>
      <c r="AR35" s="84">
        <v>236505</v>
      </c>
      <c r="AS35" s="84">
        <v>876420</v>
      </c>
      <c r="AT35" s="84"/>
      <c r="AU35" s="84"/>
      <c r="AV35" s="84">
        <v>-226291</v>
      </c>
      <c r="AW35" s="84">
        <v>-444129</v>
      </c>
      <c r="AX35" s="84">
        <v>56839</v>
      </c>
      <c r="AY35" s="84">
        <v>191002</v>
      </c>
      <c r="AZ35" s="84">
        <v>18235</v>
      </c>
      <c r="BA35" s="84">
        <v>52408</v>
      </c>
      <c r="BB35" s="84"/>
      <c r="BC35" s="84"/>
      <c r="BD35" s="84">
        <v>161573</v>
      </c>
      <c r="BE35" s="84">
        <v>513210</v>
      </c>
      <c r="BF35" s="84">
        <v>1164787</v>
      </c>
      <c r="BG35" s="84">
        <v>2812993</v>
      </c>
      <c r="BH35" s="84">
        <v>212478</v>
      </c>
      <c r="BI35" s="84">
        <v>633795</v>
      </c>
      <c r="BJ35" s="84">
        <v>351498</v>
      </c>
      <c r="BK35" s="84">
        <v>1356316</v>
      </c>
      <c r="BL35" s="84">
        <v>26837</v>
      </c>
      <c r="BM35" s="84">
        <v>57012</v>
      </c>
      <c r="BN35" s="73">
        <f t="shared" si="6"/>
        <v>3522864.7336933678</v>
      </c>
      <c r="BO35" s="73">
        <f t="shared" si="7"/>
        <v>10758548.1152764</v>
      </c>
    </row>
    <row r="36" spans="1:67" x14ac:dyDescent="0.25">
      <c r="A36" s="84" t="s">
        <v>229</v>
      </c>
      <c r="B36" s="84"/>
      <c r="C36" s="84"/>
      <c r="D36" s="84"/>
      <c r="E36" s="84"/>
      <c r="F36" s="84"/>
      <c r="G36" s="84"/>
      <c r="H36" s="84">
        <v>58984</v>
      </c>
      <c r="I36" s="84">
        <v>180680</v>
      </c>
      <c r="J36" s="84">
        <v>17815</v>
      </c>
      <c r="K36" s="84">
        <v>55030</v>
      </c>
      <c r="L36" s="84">
        <v>29920</v>
      </c>
      <c r="M36" s="84">
        <v>92922</v>
      </c>
      <c r="N36" s="84"/>
      <c r="O36" s="84"/>
      <c r="P36" s="84">
        <v>1063</v>
      </c>
      <c r="Q36" s="84">
        <v>3134</v>
      </c>
      <c r="R36" s="84">
        <v>28336</v>
      </c>
      <c r="S36" s="84">
        <v>66385</v>
      </c>
      <c r="T36" s="84">
        <v>6577</v>
      </c>
      <c r="U36" s="84">
        <v>17519</v>
      </c>
      <c r="V36" s="84">
        <v>152087</v>
      </c>
      <c r="W36" s="84">
        <v>447013</v>
      </c>
      <c r="X36" s="84">
        <v>378091</v>
      </c>
      <c r="Y36" s="84">
        <v>1017562</v>
      </c>
      <c r="Z36" s="84">
        <v>40425</v>
      </c>
      <c r="AA36" s="84">
        <v>122290</v>
      </c>
      <c r="AB36" s="84">
        <v>1554</v>
      </c>
      <c r="AC36" s="84">
        <v>3964</v>
      </c>
      <c r="AD36" s="84">
        <v>20074</v>
      </c>
      <c r="AE36" s="84">
        <v>21835</v>
      </c>
      <c r="AF36" s="84">
        <v>2182</v>
      </c>
      <c r="AG36" s="84">
        <v>9740</v>
      </c>
      <c r="AH36" s="84"/>
      <c r="AI36" s="84"/>
      <c r="AJ36" s="84"/>
      <c r="AK36" s="84"/>
      <c r="AL36" s="84">
        <v>506135.61014800303</v>
      </c>
      <c r="AM36" s="84">
        <v>1416665.8808929231</v>
      </c>
      <c r="AN36" s="84">
        <v>180</v>
      </c>
      <c r="AO36" s="84">
        <v>577</v>
      </c>
      <c r="AP36" s="84">
        <v>606</v>
      </c>
      <c r="AQ36" s="84">
        <v>1357</v>
      </c>
      <c r="AR36" s="84">
        <v>105679</v>
      </c>
      <c r="AS36" s="84">
        <v>277500</v>
      </c>
      <c r="AT36" s="84"/>
      <c r="AU36" s="84"/>
      <c r="AV36" s="84">
        <v>25056</v>
      </c>
      <c r="AW36" s="84">
        <v>74991</v>
      </c>
      <c r="AX36" s="84">
        <v>40079</v>
      </c>
      <c r="AY36" s="84">
        <v>109603</v>
      </c>
      <c r="AZ36" s="84">
        <v>22816</v>
      </c>
      <c r="BA36" s="84">
        <v>59606</v>
      </c>
      <c r="BB36" s="84"/>
      <c r="BC36" s="84"/>
      <c r="BD36" s="84">
        <v>46932</v>
      </c>
      <c r="BE36" s="84">
        <v>63814</v>
      </c>
      <c r="BF36" s="84">
        <v>623748</v>
      </c>
      <c r="BG36" s="84">
        <v>2386459</v>
      </c>
      <c r="BH36" s="84">
        <v>437124</v>
      </c>
      <c r="BI36" s="84">
        <v>1264748</v>
      </c>
      <c r="BJ36" s="84">
        <v>584124</v>
      </c>
      <c r="BK36" s="84">
        <v>1584589</v>
      </c>
      <c r="BL36" s="84">
        <v>-9200</v>
      </c>
      <c r="BM36" s="84">
        <v>12718</v>
      </c>
      <c r="BN36" s="73">
        <f t="shared" si="6"/>
        <v>3120387.6101480033</v>
      </c>
      <c r="BO36" s="73">
        <f t="shared" si="7"/>
        <v>9290701.8808929231</v>
      </c>
    </row>
    <row r="37" spans="1:67" x14ac:dyDescent="0.25">
      <c r="A37" s="84" t="s">
        <v>230</v>
      </c>
      <c r="B37" s="84"/>
      <c r="C37" s="84"/>
      <c r="D37" s="84"/>
      <c r="E37" s="84"/>
      <c r="F37" s="84"/>
      <c r="G37" s="84"/>
      <c r="H37" s="84">
        <v>64767</v>
      </c>
      <c r="I37" s="84">
        <v>189627</v>
      </c>
      <c r="J37" s="84">
        <v>21684</v>
      </c>
      <c r="K37" s="84">
        <v>57883</v>
      </c>
      <c r="L37" s="84">
        <v>32576</v>
      </c>
      <c r="M37" s="84">
        <v>97323</v>
      </c>
      <c r="N37" s="84"/>
      <c r="O37" s="84"/>
      <c r="P37" s="84">
        <v>833</v>
      </c>
      <c r="Q37" s="84">
        <v>2326</v>
      </c>
      <c r="R37" s="84">
        <v>23207</v>
      </c>
      <c r="S37" s="84">
        <v>71208</v>
      </c>
      <c r="T37" s="84">
        <v>6479</v>
      </c>
      <c r="U37" s="84">
        <v>17168</v>
      </c>
      <c r="V37" s="84">
        <v>154681</v>
      </c>
      <c r="W37" s="84">
        <v>485242</v>
      </c>
      <c r="X37" s="84">
        <v>285065</v>
      </c>
      <c r="Y37" s="84">
        <v>858805</v>
      </c>
      <c r="Z37" s="84">
        <v>45122</v>
      </c>
      <c r="AA37" s="84">
        <v>128645</v>
      </c>
      <c r="AB37" s="84">
        <v>1400</v>
      </c>
      <c r="AC37" s="84">
        <v>3939</v>
      </c>
      <c r="AD37" s="84">
        <v>11902</v>
      </c>
      <c r="AE37" s="84">
        <v>35561</v>
      </c>
      <c r="AF37" s="84">
        <v>3925</v>
      </c>
      <c r="AG37" s="84">
        <v>12205</v>
      </c>
      <c r="AH37" s="84"/>
      <c r="AI37" s="84"/>
      <c r="AJ37" s="84"/>
      <c r="AK37" s="84"/>
      <c r="AL37" s="84">
        <v>525796.21414800303</v>
      </c>
      <c r="AM37" s="84">
        <v>1485245.3708929231</v>
      </c>
      <c r="AN37" s="84">
        <v>-532</v>
      </c>
      <c r="AO37" s="84">
        <v>862</v>
      </c>
      <c r="AP37" s="84">
        <v>574</v>
      </c>
      <c r="AQ37" s="84">
        <v>1747</v>
      </c>
      <c r="AR37" s="84">
        <v>101701</v>
      </c>
      <c r="AS37" s="84">
        <v>254308</v>
      </c>
      <c r="AT37" s="84"/>
      <c r="AU37" s="84"/>
      <c r="AV37" s="84">
        <v>26727</v>
      </c>
      <c r="AW37" s="84">
        <v>74902</v>
      </c>
      <c r="AX37" s="84">
        <v>38888</v>
      </c>
      <c r="AY37" s="84">
        <v>109452</v>
      </c>
      <c r="AZ37" s="84">
        <v>21580</v>
      </c>
      <c r="BA37" s="84">
        <v>69391</v>
      </c>
      <c r="BB37" s="84"/>
      <c r="BC37" s="84"/>
      <c r="BD37" s="84">
        <v>19142</v>
      </c>
      <c r="BE37" s="84">
        <v>43215</v>
      </c>
      <c r="BF37" s="84">
        <v>505642</v>
      </c>
      <c r="BG37" s="84">
        <v>2273534</v>
      </c>
      <c r="BH37" s="84">
        <v>447392</v>
      </c>
      <c r="BI37" s="84">
        <v>1356120</v>
      </c>
      <c r="BJ37" s="84">
        <v>533218</v>
      </c>
      <c r="BK37" s="84">
        <v>1380802</v>
      </c>
      <c r="BL37" s="84">
        <v>-454</v>
      </c>
      <c r="BM37" s="84">
        <v>13334</v>
      </c>
      <c r="BN37" s="73">
        <f t="shared" si="6"/>
        <v>2871315.2141480031</v>
      </c>
      <c r="BO37" s="73">
        <f t="shared" si="7"/>
        <v>9022844.3708929233</v>
      </c>
    </row>
    <row r="39" spans="1:67" x14ac:dyDescent="0.25">
      <c r="A39" s="24" t="s">
        <v>220</v>
      </c>
    </row>
    <row r="40" spans="1:67" x14ac:dyDescent="0.25">
      <c r="A40" s="1" t="s">
        <v>0</v>
      </c>
      <c r="B40" s="103" t="s">
        <v>1</v>
      </c>
      <c r="C40" s="104"/>
      <c r="D40" s="103" t="s">
        <v>282</v>
      </c>
      <c r="E40" s="104"/>
      <c r="F40" s="103" t="s">
        <v>2</v>
      </c>
      <c r="G40" s="104"/>
      <c r="H40" s="103" t="s">
        <v>3</v>
      </c>
      <c r="I40" s="104"/>
      <c r="J40" s="103" t="s">
        <v>4</v>
      </c>
      <c r="K40" s="104"/>
      <c r="L40" s="103" t="s">
        <v>283</v>
      </c>
      <c r="M40" s="104"/>
      <c r="N40" s="103" t="s">
        <v>6</v>
      </c>
      <c r="O40" s="104"/>
      <c r="P40" s="103" t="s">
        <v>5</v>
      </c>
      <c r="Q40" s="104"/>
      <c r="R40" s="103" t="s">
        <v>7</v>
      </c>
      <c r="S40" s="104"/>
      <c r="T40" s="103" t="s">
        <v>284</v>
      </c>
      <c r="U40" s="104"/>
      <c r="V40" s="103" t="s">
        <v>8</v>
      </c>
      <c r="W40" s="104"/>
      <c r="X40" s="103" t="s">
        <v>9</v>
      </c>
      <c r="Y40" s="104"/>
      <c r="Z40" s="103" t="s">
        <v>10</v>
      </c>
      <c r="AA40" s="104"/>
      <c r="AB40" s="103" t="s">
        <v>304</v>
      </c>
      <c r="AC40" s="104"/>
      <c r="AD40" s="103" t="s">
        <v>11</v>
      </c>
      <c r="AE40" s="104"/>
      <c r="AF40" s="103" t="s">
        <v>12</v>
      </c>
      <c r="AG40" s="104"/>
      <c r="AH40" s="103" t="s">
        <v>285</v>
      </c>
      <c r="AI40" s="104"/>
      <c r="AJ40" s="103" t="s">
        <v>290</v>
      </c>
      <c r="AK40" s="104"/>
      <c r="AL40" s="103" t="s">
        <v>13</v>
      </c>
      <c r="AM40" s="104"/>
      <c r="AN40" s="103" t="s">
        <v>286</v>
      </c>
      <c r="AO40" s="104"/>
      <c r="AP40" s="103" t="s">
        <v>287</v>
      </c>
      <c r="AQ40" s="104"/>
      <c r="AR40" s="103" t="s">
        <v>291</v>
      </c>
      <c r="AS40" s="104"/>
      <c r="AT40" s="103" t="s">
        <v>305</v>
      </c>
      <c r="AU40" s="104"/>
      <c r="AV40" s="103" t="s">
        <v>14</v>
      </c>
      <c r="AW40" s="104"/>
      <c r="AX40" s="103" t="s">
        <v>15</v>
      </c>
      <c r="AY40" s="104"/>
      <c r="AZ40" s="103" t="s">
        <v>16</v>
      </c>
      <c r="BA40" s="104"/>
      <c r="BB40" s="103" t="s">
        <v>17</v>
      </c>
      <c r="BC40" s="104"/>
      <c r="BD40" s="103" t="s">
        <v>18</v>
      </c>
      <c r="BE40" s="104"/>
      <c r="BF40" s="103" t="s">
        <v>288</v>
      </c>
      <c r="BG40" s="104"/>
      <c r="BH40" s="103" t="s">
        <v>289</v>
      </c>
      <c r="BI40" s="104"/>
      <c r="BJ40" s="103" t="s">
        <v>19</v>
      </c>
      <c r="BK40" s="104"/>
      <c r="BL40" s="103" t="s">
        <v>20</v>
      </c>
      <c r="BM40" s="104"/>
      <c r="BN40" s="105" t="s">
        <v>21</v>
      </c>
      <c r="BO40" s="106"/>
    </row>
    <row r="41" spans="1:67" ht="30" x14ac:dyDescent="0.25">
      <c r="A41" s="1"/>
      <c r="B41" s="57" t="s">
        <v>293</v>
      </c>
      <c r="C41" s="58" t="s">
        <v>294</v>
      </c>
      <c r="D41" s="57" t="s">
        <v>293</v>
      </c>
      <c r="E41" s="58" t="s">
        <v>294</v>
      </c>
      <c r="F41" s="57" t="s">
        <v>293</v>
      </c>
      <c r="G41" s="58" t="s">
        <v>294</v>
      </c>
      <c r="H41" s="57" t="s">
        <v>293</v>
      </c>
      <c r="I41" s="58" t="s">
        <v>294</v>
      </c>
      <c r="J41" s="57" t="s">
        <v>293</v>
      </c>
      <c r="K41" s="58" t="s">
        <v>294</v>
      </c>
      <c r="L41" s="57" t="s">
        <v>293</v>
      </c>
      <c r="M41" s="58" t="s">
        <v>294</v>
      </c>
      <c r="N41" s="57" t="s">
        <v>293</v>
      </c>
      <c r="O41" s="58" t="s">
        <v>294</v>
      </c>
      <c r="P41" s="57" t="s">
        <v>293</v>
      </c>
      <c r="Q41" s="58" t="s">
        <v>294</v>
      </c>
      <c r="R41" s="57" t="s">
        <v>293</v>
      </c>
      <c r="S41" s="58" t="s">
        <v>294</v>
      </c>
      <c r="T41" s="57" t="s">
        <v>293</v>
      </c>
      <c r="U41" s="58" t="s">
        <v>294</v>
      </c>
      <c r="V41" s="57" t="s">
        <v>293</v>
      </c>
      <c r="W41" s="58" t="s">
        <v>294</v>
      </c>
      <c r="X41" s="57" t="s">
        <v>293</v>
      </c>
      <c r="Y41" s="58" t="s">
        <v>294</v>
      </c>
      <c r="Z41" s="57" t="s">
        <v>293</v>
      </c>
      <c r="AA41" s="58" t="s">
        <v>294</v>
      </c>
      <c r="AB41" s="57" t="s">
        <v>293</v>
      </c>
      <c r="AC41" s="58" t="s">
        <v>294</v>
      </c>
      <c r="AD41" s="57" t="s">
        <v>293</v>
      </c>
      <c r="AE41" s="58" t="s">
        <v>294</v>
      </c>
      <c r="AF41" s="57" t="s">
        <v>293</v>
      </c>
      <c r="AG41" s="58" t="s">
        <v>294</v>
      </c>
      <c r="AH41" s="57" t="s">
        <v>293</v>
      </c>
      <c r="AI41" s="58" t="s">
        <v>294</v>
      </c>
      <c r="AJ41" s="57" t="s">
        <v>293</v>
      </c>
      <c r="AK41" s="58" t="s">
        <v>294</v>
      </c>
      <c r="AL41" s="57" t="s">
        <v>293</v>
      </c>
      <c r="AM41" s="58" t="s">
        <v>294</v>
      </c>
      <c r="AN41" s="57" t="s">
        <v>293</v>
      </c>
      <c r="AO41" s="58" t="s">
        <v>294</v>
      </c>
      <c r="AP41" s="57" t="s">
        <v>293</v>
      </c>
      <c r="AQ41" s="58" t="s">
        <v>294</v>
      </c>
      <c r="AR41" s="57" t="s">
        <v>293</v>
      </c>
      <c r="AS41" s="58" t="s">
        <v>294</v>
      </c>
      <c r="AT41" s="57" t="s">
        <v>293</v>
      </c>
      <c r="AU41" s="58" t="s">
        <v>294</v>
      </c>
      <c r="AV41" s="57" t="s">
        <v>293</v>
      </c>
      <c r="AW41" s="58" t="s">
        <v>294</v>
      </c>
      <c r="AX41" s="57" t="s">
        <v>293</v>
      </c>
      <c r="AY41" s="58" t="s">
        <v>294</v>
      </c>
      <c r="AZ41" s="57" t="s">
        <v>293</v>
      </c>
      <c r="BA41" s="58" t="s">
        <v>294</v>
      </c>
      <c r="BB41" s="57" t="s">
        <v>293</v>
      </c>
      <c r="BC41" s="58" t="s">
        <v>294</v>
      </c>
      <c r="BD41" s="57" t="s">
        <v>293</v>
      </c>
      <c r="BE41" s="58" t="s">
        <v>294</v>
      </c>
      <c r="BF41" s="57" t="s">
        <v>293</v>
      </c>
      <c r="BG41" s="58" t="s">
        <v>294</v>
      </c>
      <c r="BH41" s="57" t="s">
        <v>293</v>
      </c>
      <c r="BI41" s="58" t="s">
        <v>294</v>
      </c>
      <c r="BJ41" s="57" t="s">
        <v>293</v>
      </c>
      <c r="BK41" s="58" t="s">
        <v>294</v>
      </c>
      <c r="BL41" s="57" t="s">
        <v>293</v>
      </c>
      <c r="BM41" s="58" t="s">
        <v>294</v>
      </c>
      <c r="BN41" s="57" t="s">
        <v>293</v>
      </c>
      <c r="BO41" s="58" t="s">
        <v>294</v>
      </c>
    </row>
    <row r="42" spans="1:67" x14ac:dyDescent="0.25">
      <c r="A42" s="84" t="s">
        <v>271</v>
      </c>
      <c r="B42" s="84">
        <v>280145</v>
      </c>
      <c r="C42" s="84">
        <v>652878</v>
      </c>
      <c r="D42" s="84">
        <v>2699834</v>
      </c>
      <c r="E42" s="84">
        <v>7779839</v>
      </c>
      <c r="F42" s="84"/>
      <c r="G42" s="84"/>
      <c r="H42" s="84">
        <v>6057326</v>
      </c>
      <c r="I42" s="84">
        <v>16172545</v>
      </c>
      <c r="J42" s="84">
        <v>1069186</v>
      </c>
      <c r="K42" s="84">
        <v>3130872</v>
      </c>
      <c r="L42" s="84">
        <v>921372</v>
      </c>
      <c r="M42" s="84">
        <v>3294833</v>
      </c>
      <c r="N42" s="84"/>
      <c r="O42" s="84"/>
      <c r="P42" s="84">
        <v>232931</v>
      </c>
      <c r="Q42" s="84">
        <v>691945</v>
      </c>
      <c r="R42" s="84">
        <v>1015669</v>
      </c>
      <c r="S42" s="84">
        <v>2777757</v>
      </c>
      <c r="T42" s="84">
        <v>186156</v>
      </c>
      <c r="U42" s="84">
        <v>1551503</v>
      </c>
      <c r="V42" s="84">
        <v>8444947</v>
      </c>
      <c r="W42" s="84">
        <v>24626500</v>
      </c>
      <c r="X42" s="84">
        <v>5972571</v>
      </c>
      <c r="Y42" s="84">
        <v>20446706</v>
      </c>
      <c r="Z42" s="84">
        <v>2869460</v>
      </c>
      <c r="AA42" s="84">
        <v>12591192</v>
      </c>
      <c r="AB42" s="84">
        <v>450704</v>
      </c>
      <c r="AC42" s="84">
        <v>1331033</v>
      </c>
      <c r="AD42" s="84">
        <v>302167</v>
      </c>
      <c r="AE42" s="84">
        <v>1641696</v>
      </c>
      <c r="AF42" s="84">
        <v>160765</v>
      </c>
      <c r="AG42" s="84">
        <v>546981</v>
      </c>
      <c r="AH42" s="84">
        <v>1970305</v>
      </c>
      <c r="AI42" s="84">
        <v>5230183</v>
      </c>
      <c r="AJ42" s="84">
        <v>4063286</v>
      </c>
      <c r="AK42" s="84">
        <v>11038823</v>
      </c>
      <c r="AL42" s="84">
        <v>14598944.947625265</v>
      </c>
      <c r="AM42" s="84">
        <v>44000289.171955481</v>
      </c>
      <c r="AN42" s="84">
        <v>72482</v>
      </c>
      <c r="AO42" s="84">
        <v>139932</v>
      </c>
      <c r="AP42" s="84">
        <v>186184</v>
      </c>
      <c r="AQ42" s="84">
        <v>190535</v>
      </c>
      <c r="AR42" s="84">
        <v>1260504</v>
      </c>
      <c r="AS42" s="84">
        <v>7611887</v>
      </c>
      <c r="AT42" s="84">
        <v>5453452</v>
      </c>
      <c r="AU42" s="84">
        <v>16063193</v>
      </c>
      <c r="AV42" s="84">
        <v>767285</v>
      </c>
      <c r="AW42" s="84">
        <v>2525251</v>
      </c>
      <c r="AX42" s="84">
        <v>2031376</v>
      </c>
      <c r="AY42" s="84">
        <v>7207547</v>
      </c>
      <c r="AZ42" s="84">
        <v>12507</v>
      </c>
      <c r="BA42" s="84">
        <v>16746</v>
      </c>
      <c r="BB42" s="84"/>
      <c r="BC42" s="84"/>
      <c r="BD42" s="84">
        <v>2781352</v>
      </c>
      <c r="BE42" s="84">
        <v>8082110</v>
      </c>
      <c r="BF42" s="84">
        <v>24082742</v>
      </c>
      <c r="BG42" s="84">
        <v>78174050</v>
      </c>
      <c r="BH42" s="84">
        <v>10741510</v>
      </c>
      <c r="BI42" s="84">
        <v>35825167</v>
      </c>
      <c r="BJ42" s="84">
        <v>12720465</v>
      </c>
      <c r="BK42" s="84">
        <v>42074468</v>
      </c>
      <c r="BL42" s="84">
        <v>498576</v>
      </c>
      <c r="BM42" s="84">
        <v>1891663</v>
      </c>
      <c r="BN42" s="73">
        <f t="shared" ref="BN42:BN46" si="8">SUM(B42+D42+F42+H42+J42+L42+N42+P42+R42+T42+V42+X42+Z42+AB42+AD42+AF42+AH42+AJ42+AL42+AN42+AP42+AR42+AT42+AV42+AX42+AZ42+BB42+BD42+BF42+BH42+BJ42+BL42)</f>
        <v>111904203.94762526</v>
      </c>
      <c r="BO42" s="73">
        <f t="shared" ref="BO42:BO46" si="9">SUM(C42+E42+G42+I42+K42+M42+O42+Q42+S42+U42+W42+Y42+AA42+AC42+AE42+AG42+AI42+AK42+AM42+AO42+AQ42+AS42+AU42+AW42+AY42+BA42+BC42+BE42+BG42+BI42+BK42+BM42)</f>
        <v>357308124.17195547</v>
      </c>
    </row>
    <row r="43" spans="1:67" x14ac:dyDescent="0.25">
      <c r="A43" s="84" t="s">
        <v>274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>
        <v>647</v>
      </c>
      <c r="Q43" s="84">
        <v>1063</v>
      </c>
      <c r="R43" s="84"/>
      <c r="S43" s="84"/>
      <c r="T43" s="84"/>
      <c r="U43" s="84"/>
      <c r="V43" s="84"/>
      <c r="W43" s="84"/>
      <c r="X43" s="84">
        <v>455239</v>
      </c>
      <c r="Y43" s="84">
        <v>866667</v>
      </c>
      <c r="Z43" s="84"/>
      <c r="AA43" s="84"/>
      <c r="AB43" s="84"/>
      <c r="AC43" s="84"/>
      <c r="AD43" s="84"/>
      <c r="AE43" s="84"/>
      <c r="AF43" s="84"/>
      <c r="AG43" s="84">
        <v>-6</v>
      </c>
      <c r="AH43" s="84"/>
      <c r="AI43" s="84"/>
      <c r="AJ43" s="84"/>
      <c r="AK43" s="84"/>
      <c r="AL43" s="84">
        <v>0</v>
      </c>
      <c r="AM43" s="84">
        <v>0</v>
      </c>
      <c r="AN43" s="84"/>
      <c r="AO43" s="84"/>
      <c r="AP43" s="84"/>
      <c r="AQ43" s="84"/>
      <c r="AR43" s="84"/>
      <c r="AS43" s="84"/>
      <c r="AT43" s="84">
        <v>43608</v>
      </c>
      <c r="AU43" s="84">
        <v>220245</v>
      </c>
      <c r="AV43" s="84"/>
      <c r="AW43" s="84"/>
      <c r="AX43" s="84"/>
      <c r="AY43" s="84">
        <v>347267</v>
      </c>
      <c r="AZ43" s="84"/>
      <c r="BA43" s="84"/>
      <c r="BB43" s="84"/>
      <c r="BC43" s="84"/>
      <c r="BD43" s="84"/>
      <c r="BE43" s="84"/>
      <c r="BF43" s="84">
        <v>167087</v>
      </c>
      <c r="BG43" s="84">
        <v>222794</v>
      </c>
      <c r="BH43" s="84">
        <v>15</v>
      </c>
      <c r="BI43" s="84">
        <v>-2600</v>
      </c>
      <c r="BJ43" s="84"/>
      <c r="BK43" s="84"/>
      <c r="BL43" s="84"/>
      <c r="BM43" s="84"/>
      <c r="BN43" s="73">
        <f t="shared" si="8"/>
        <v>666596</v>
      </c>
      <c r="BO43" s="73">
        <f t="shared" si="9"/>
        <v>1655430</v>
      </c>
    </row>
    <row r="44" spans="1:67" x14ac:dyDescent="0.25">
      <c r="A44" s="84" t="s">
        <v>275</v>
      </c>
      <c r="B44" s="84">
        <v>16359</v>
      </c>
      <c r="C44" s="84">
        <v>39561</v>
      </c>
      <c r="D44" s="84">
        <v>627729</v>
      </c>
      <c r="E44" s="84">
        <v>2012374</v>
      </c>
      <c r="F44" s="84"/>
      <c r="G44" s="84"/>
      <c r="H44" s="84">
        <v>2897229</v>
      </c>
      <c r="I44" s="84">
        <v>3754084</v>
      </c>
      <c r="J44" s="84">
        <v>270917</v>
      </c>
      <c r="K44" s="84">
        <v>520913</v>
      </c>
      <c r="L44" s="84">
        <v>201087</v>
      </c>
      <c r="M44" s="84">
        <v>635392</v>
      </c>
      <c r="N44" s="84"/>
      <c r="O44" s="84"/>
      <c r="P44" s="84">
        <v>19794</v>
      </c>
      <c r="Q44" s="84">
        <v>44990</v>
      </c>
      <c r="R44" s="84">
        <v>586436</v>
      </c>
      <c r="S44" s="84">
        <v>826106</v>
      </c>
      <c r="T44" s="84">
        <v>35652</v>
      </c>
      <c r="U44" s="84">
        <v>473672</v>
      </c>
      <c r="V44" s="84">
        <v>-3131967</v>
      </c>
      <c r="W44" s="84">
        <v>-8356526</v>
      </c>
      <c r="X44" s="84">
        <v>1396459</v>
      </c>
      <c r="Y44" s="84">
        <v>4101758</v>
      </c>
      <c r="Z44" s="84">
        <v>979886</v>
      </c>
      <c r="AA44" s="84">
        <v>2018247</v>
      </c>
      <c r="AB44" s="84">
        <v>23669</v>
      </c>
      <c r="AC44" s="84">
        <v>69760</v>
      </c>
      <c r="AD44" s="84">
        <v>18530</v>
      </c>
      <c r="AE44" s="84">
        <v>88405</v>
      </c>
      <c r="AF44" s="84">
        <v>-31904</v>
      </c>
      <c r="AG44" s="84">
        <v>-74146</v>
      </c>
      <c r="AH44" s="84">
        <v>101633</v>
      </c>
      <c r="AI44" s="84">
        <v>269388</v>
      </c>
      <c r="AJ44" s="84">
        <v>930290</v>
      </c>
      <c r="AK44" s="84">
        <v>2579709</v>
      </c>
      <c r="AL44" s="84">
        <v>2123328.8431505542</v>
      </c>
      <c r="AM44" s="84">
        <v>3955297.1779340971</v>
      </c>
      <c r="AN44" s="84">
        <v>-21277</v>
      </c>
      <c r="AO44" s="84">
        <v>-44488</v>
      </c>
      <c r="AP44" s="84">
        <v>9309</v>
      </c>
      <c r="AQ44" s="84">
        <v>9527</v>
      </c>
      <c r="AR44" s="84">
        <v>250412</v>
      </c>
      <c r="AS44" s="84">
        <v>1610441</v>
      </c>
      <c r="AT44" s="84">
        <v>1365856</v>
      </c>
      <c r="AU44" s="84">
        <v>4121546</v>
      </c>
      <c r="AV44" s="84">
        <v>-141941</v>
      </c>
      <c r="AW44" s="84">
        <v>-539095</v>
      </c>
      <c r="AX44" s="84">
        <v>101568</v>
      </c>
      <c r="AY44" s="84">
        <v>360377</v>
      </c>
      <c r="AZ44" s="84">
        <v>673</v>
      </c>
      <c r="BA44" s="84">
        <v>1207</v>
      </c>
      <c r="BB44" s="84"/>
      <c r="BC44" s="84"/>
      <c r="BD44" s="84">
        <v>476784</v>
      </c>
      <c r="BE44" s="84">
        <v>1042303</v>
      </c>
      <c r="BF44" s="84">
        <v>1165567</v>
      </c>
      <c r="BG44" s="84">
        <v>3841630</v>
      </c>
      <c r="BH44" s="84">
        <v>500582</v>
      </c>
      <c r="BI44" s="84">
        <v>1698138</v>
      </c>
      <c r="BJ44" s="84">
        <v>636019</v>
      </c>
      <c r="BK44" s="84">
        <v>2940497</v>
      </c>
      <c r="BL44" s="84">
        <v>26524</v>
      </c>
      <c r="BM44" s="84">
        <v>98384</v>
      </c>
      <c r="BN44" s="73">
        <f t="shared" si="8"/>
        <v>11435203.843150554</v>
      </c>
      <c r="BO44" s="73">
        <f t="shared" si="9"/>
        <v>28099451.177934095</v>
      </c>
    </row>
    <row r="45" spans="1:67" x14ac:dyDescent="0.25">
      <c r="A45" s="84" t="s">
        <v>229</v>
      </c>
      <c r="B45" s="84">
        <v>263786</v>
      </c>
      <c r="C45" s="84">
        <v>613317</v>
      </c>
      <c r="D45" s="84">
        <v>2072105</v>
      </c>
      <c r="E45" s="84">
        <v>5767465</v>
      </c>
      <c r="F45" s="84"/>
      <c r="G45" s="84"/>
      <c r="H45" s="84">
        <v>3160097</v>
      </c>
      <c r="I45" s="84">
        <v>12418461</v>
      </c>
      <c r="J45" s="84">
        <v>798269</v>
      </c>
      <c r="K45" s="84">
        <v>2609959</v>
      </c>
      <c r="L45" s="84">
        <v>720285</v>
      </c>
      <c r="M45" s="84">
        <v>2659441</v>
      </c>
      <c r="N45" s="84"/>
      <c r="O45" s="84"/>
      <c r="P45" s="84">
        <v>213784</v>
      </c>
      <c r="Q45" s="84">
        <v>648018</v>
      </c>
      <c r="R45" s="84">
        <v>429234</v>
      </c>
      <c r="S45" s="84">
        <v>1951651</v>
      </c>
      <c r="T45" s="84">
        <v>150504</v>
      </c>
      <c r="U45" s="84">
        <v>1077831</v>
      </c>
      <c r="V45" s="84">
        <v>5312980</v>
      </c>
      <c r="W45" s="84">
        <v>16269974</v>
      </c>
      <c r="X45" s="84">
        <v>5031351</v>
      </c>
      <c r="Y45" s="84">
        <v>17211615</v>
      </c>
      <c r="Z45" s="84">
        <v>1889574</v>
      </c>
      <c r="AA45" s="84">
        <v>10572945</v>
      </c>
      <c r="AB45" s="84">
        <v>427035</v>
      </c>
      <c r="AC45" s="84">
        <v>1261273</v>
      </c>
      <c r="AD45" s="84">
        <v>283637</v>
      </c>
      <c r="AE45" s="84">
        <v>1553291</v>
      </c>
      <c r="AF45" s="84">
        <v>128861</v>
      </c>
      <c r="AG45" s="84">
        <v>472829</v>
      </c>
      <c r="AH45" s="84">
        <v>1868672</v>
      </c>
      <c r="AI45" s="84">
        <v>4960795</v>
      </c>
      <c r="AJ45" s="84">
        <v>3132996</v>
      </c>
      <c r="AK45" s="84">
        <v>8459114</v>
      </c>
      <c r="AL45" s="84">
        <v>12475616.10447471</v>
      </c>
      <c r="AM45" s="84">
        <v>40044991.994021386</v>
      </c>
      <c r="AN45" s="84">
        <v>51205</v>
      </c>
      <c r="AO45" s="84">
        <v>95444</v>
      </c>
      <c r="AP45" s="84">
        <v>176875</v>
      </c>
      <c r="AQ45" s="84">
        <v>181008</v>
      </c>
      <c r="AR45" s="84">
        <v>1010092</v>
      </c>
      <c r="AS45" s="84">
        <v>6001446</v>
      </c>
      <c r="AT45" s="84">
        <v>4131204</v>
      </c>
      <c r="AU45" s="84">
        <v>12161892</v>
      </c>
      <c r="AV45" s="84">
        <v>625344</v>
      </c>
      <c r="AW45" s="84">
        <v>1986156</v>
      </c>
      <c r="AX45" s="84">
        <v>1929808</v>
      </c>
      <c r="AY45" s="84">
        <v>7194437</v>
      </c>
      <c r="AZ45" s="84">
        <v>11834</v>
      </c>
      <c r="BA45" s="84">
        <v>15539</v>
      </c>
      <c r="BB45" s="84"/>
      <c r="BC45" s="84"/>
      <c r="BD45" s="84">
        <v>2304568</v>
      </c>
      <c r="BE45" s="84">
        <v>7039807</v>
      </c>
      <c r="BF45" s="84">
        <v>23084262</v>
      </c>
      <c r="BG45" s="84">
        <v>74555213</v>
      </c>
      <c r="BH45" s="84">
        <v>10240943</v>
      </c>
      <c r="BI45" s="84">
        <v>34124429</v>
      </c>
      <c r="BJ45" s="84">
        <v>12084446</v>
      </c>
      <c r="BK45" s="84">
        <v>39133971</v>
      </c>
      <c r="BL45" s="84">
        <v>472052</v>
      </c>
      <c r="BM45" s="84">
        <v>1793279</v>
      </c>
      <c r="BN45" s="73">
        <f t="shared" si="8"/>
        <v>94481419.104474708</v>
      </c>
      <c r="BO45" s="73">
        <f t="shared" si="9"/>
        <v>312835591.99402142</v>
      </c>
    </row>
    <row r="46" spans="1:67" x14ac:dyDescent="0.25">
      <c r="A46" s="84" t="s">
        <v>230</v>
      </c>
      <c r="B46" s="84">
        <v>271441</v>
      </c>
      <c r="C46" s="84">
        <v>476455</v>
      </c>
      <c r="D46" s="84">
        <v>1792453</v>
      </c>
      <c r="E46" s="84">
        <v>4674417</v>
      </c>
      <c r="F46" s="84"/>
      <c r="G46" s="84"/>
      <c r="H46" s="84">
        <v>4010267</v>
      </c>
      <c r="I46" s="84">
        <v>12067455</v>
      </c>
      <c r="J46" s="84">
        <v>780517</v>
      </c>
      <c r="K46" s="84">
        <v>2001422</v>
      </c>
      <c r="L46" s="84">
        <v>776238</v>
      </c>
      <c r="M46" s="84">
        <v>2146157</v>
      </c>
      <c r="N46" s="84"/>
      <c r="O46" s="84"/>
      <c r="P46" s="84">
        <v>193261</v>
      </c>
      <c r="Q46" s="84">
        <v>509716</v>
      </c>
      <c r="R46" s="84">
        <v>794747</v>
      </c>
      <c r="S46" s="84">
        <v>2265645</v>
      </c>
      <c r="T46" s="84">
        <v>294244</v>
      </c>
      <c r="U46" s="84">
        <v>651759</v>
      </c>
      <c r="V46" s="84">
        <v>6469069</v>
      </c>
      <c r="W46" s="84">
        <v>19143216</v>
      </c>
      <c r="X46" s="84">
        <v>5750513</v>
      </c>
      <c r="Y46" s="84">
        <v>15726206</v>
      </c>
      <c r="Z46" s="84">
        <v>3385891</v>
      </c>
      <c r="AA46" s="84">
        <v>9332403</v>
      </c>
      <c r="AB46" s="84">
        <v>347580</v>
      </c>
      <c r="AC46" s="84">
        <v>858192</v>
      </c>
      <c r="AD46" s="84">
        <v>565457</v>
      </c>
      <c r="AE46" s="84">
        <v>1744539</v>
      </c>
      <c r="AF46" s="84">
        <v>142098</v>
      </c>
      <c r="AG46" s="84">
        <v>330303</v>
      </c>
      <c r="AH46" s="84">
        <v>1698563</v>
      </c>
      <c r="AI46" s="84">
        <v>4425500</v>
      </c>
      <c r="AJ46" s="84">
        <v>2651260</v>
      </c>
      <c r="AK46" s="84">
        <v>7245120</v>
      </c>
      <c r="AL46" s="84">
        <v>9265202.9614747092</v>
      </c>
      <c r="AM46" s="84">
        <v>30912133.287021384</v>
      </c>
      <c r="AN46" s="84">
        <v>13396</v>
      </c>
      <c r="AO46" s="84">
        <v>189982</v>
      </c>
      <c r="AP46" s="84">
        <v>74158</v>
      </c>
      <c r="AQ46" s="84">
        <v>77609</v>
      </c>
      <c r="AR46" s="84">
        <v>1622031</v>
      </c>
      <c r="AS46" s="84">
        <v>5359602</v>
      </c>
      <c r="AT46" s="84">
        <v>3672817</v>
      </c>
      <c r="AU46" s="84">
        <v>10411547</v>
      </c>
      <c r="AV46" s="84">
        <v>725918</v>
      </c>
      <c r="AW46" s="84">
        <v>2226798</v>
      </c>
      <c r="AX46" s="84">
        <v>2349956</v>
      </c>
      <c r="AY46" s="84">
        <v>6755180</v>
      </c>
      <c r="AZ46" s="84">
        <v>2704</v>
      </c>
      <c r="BA46" s="84">
        <v>4979</v>
      </c>
      <c r="BB46" s="84"/>
      <c r="BC46" s="84"/>
      <c r="BD46" s="84">
        <v>2124953</v>
      </c>
      <c r="BE46" s="84">
        <v>5559069</v>
      </c>
      <c r="BF46" s="84">
        <v>24160870</v>
      </c>
      <c r="BG46" s="84">
        <v>69444944</v>
      </c>
      <c r="BH46" s="84">
        <v>10486652</v>
      </c>
      <c r="BI46" s="84">
        <v>32441696</v>
      </c>
      <c r="BJ46" s="84">
        <v>13137635</v>
      </c>
      <c r="BK46" s="84">
        <v>36150022</v>
      </c>
      <c r="BL46" s="84">
        <v>548778</v>
      </c>
      <c r="BM46" s="84">
        <v>1474878</v>
      </c>
      <c r="BN46" s="73">
        <f t="shared" si="8"/>
        <v>98108669.961474717</v>
      </c>
      <c r="BO46" s="73">
        <f t="shared" si="9"/>
        <v>284606944.2870214</v>
      </c>
    </row>
    <row r="48" spans="1:67" x14ac:dyDescent="0.25">
      <c r="A48" s="24" t="s">
        <v>221</v>
      </c>
    </row>
    <row r="49" spans="1:67" x14ac:dyDescent="0.25">
      <c r="A49" s="1" t="s">
        <v>0</v>
      </c>
      <c r="B49" s="103" t="s">
        <v>1</v>
      </c>
      <c r="C49" s="104"/>
      <c r="D49" s="103" t="s">
        <v>282</v>
      </c>
      <c r="E49" s="104"/>
      <c r="F49" s="103" t="s">
        <v>2</v>
      </c>
      <c r="G49" s="104"/>
      <c r="H49" s="103" t="s">
        <v>3</v>
      </c>
      <c r="I49" s="104"/>
      <c r="J49" s="103" t="s">
        <v>4</v>
      </c>
      <c r="K49" s="104"/>
      <c r="L49" s="103" t="s">
        <v>283</v>
      </c>
      <c r="M49" s="104"/>
      <c r="N49" s="103" t="s">
        <v>6</v>
      </c>
      <c r="O49" s="104"/>
      <c r="P49" s="103" t="s">
        <v>5</v>
      </c>
      <c r="Q49" s="104"/>
      <c r="R49" s="103" t="s">
        <v>7</v>
      </c>
      <c r="S49" s="104"/>
      <c r="T49" s="103" t="s">
        <v>284</v>
      </c>
      <c r="U49" s="104"/>
      <c r="V49" s="103" t="s">
        <v>8</v>
      </c>
      <c r="W49" s="104"/>
      <c r="X49" s="103" t="s">
        <v>9</v>
      </c>
      <c r="Y49" s="104"/>
      <c r="Z49" s="103" t="s">
        <v>10</v>
      </c>
      <c r="AA49" s="104"/>
      <c r="AB49" s="103" t="s">
        <v>304</v>
      </c>
      <c r="AC49" s="104"/>
      <c r="AD49" s="103" t="s">
        <v>11</v>
      </c>
      <c r="AE49" s="104"/>
      <c r="AF49" s="103" t="s">
        <v>12</v>
      </c>
      <c r="AG49" s="104"/>
      <c r="AH49" s="103" t="s">
        <v>285</v>
      </c>
      <c r="AI49" s="104"/>
      <c r="AJ49" s="103" t="s">
        <v>290</v>
      </c>
      <c r="AK49" s="104"/>
      <c r="AL49" s="103" t="s">
        <v>13</v>
      </c>
      <c r="AM49" s="104"/>
      <c r="AN49" s="103" t="s">
        <v>286</v>
      </c>
      <c r="AO49" s="104"/>
      <c r="AP49" s="103" t="s">
        <v>287</v>
      </c>
      <c r="AQ49" s="104"/>
      <c r="AR49" s="103" t="s">
        <v>291</v>
      </c>
      <c r="AS49" s="104"/>
      <c r="AT49" s="103" t="s">
        <v>305</v>
      </c>
      <c r="AU49" s="104"/>
      <c r="AV49" s="103" t="s">
        <v>14</v>
      </c>
      <c r="AW49" s="104"/>
      <c r="AX49" s="103" t="s">
        <v>15</v>
      </c>
      <c r="AY49" s="104"/>
      <c r="AZ49" s="103" t="s">
        <v>16</v>
      </c>
      <c r="BA49" s="104"/>
      <c r="BB49" s="103" t="s">
        <v>17</v>
      </c>
      <c r="BC49" s="104"/>
      <c r="BD49" s="103" t="s">
        <v>18</v>
      </c>
      <c r="BE49" s="104"/>
      <c r="BF49" s="103" t="s">
        <v>288</v>
      </c>
      <c r="BG49" s="104"/>
      <c r="BH49" s="103" t="s">
        <v>289</v>
      </c>
      <c r="BI49" s="104"/>
      <c r="BJ49" s="103" t="s">
        <v>19</v>
      </c>
      <c r="BK49" s="104"/>
      <c r="BL49" s="103" t="s">
        <v>20</v>
      </c>
      <c r="BM49" s="104"/>
      <c r="BN49" s="105" t="s">
        <v>21</v>
      </c>
      <c r="BO49" s="106"/>
    </row>
    <row r="50" spans="1:67" ht="30" x14ac:dyDescent="0.25">
      <c r="A50" s="1"/>
      <c r="B50" s="57" t="s">
        <v>293</v>
      </c>
      <c r="C50" s="58" t="s">
        <v>294</v>
      </c>
      <c r="D50" s="57" t="s">
        <v>293</v>
      </c>
      <c r="E50" s="58" t="s">
        <v>294</v>
      </c>
      <c r="F50" s="57" t="s">
        <v>293</v>
      </c>
      <c r="G50" s="58" t="s">
        <v>294</v>
      </c>
      <c r="H50" s="57" t="s">
        <v>293</v>
      </c>
      <c r="I50" s="58" t="s">
        <v>294</v>
      </c>
      <c r="J50" s="57" t="s">
        <v>293</v>
      </c>
      <c r="K50" s="58" t="s">
        <v>294</v>
      </c>
      <c r="L50" s="57" t="s">
        <v>293</v>
      </c>
      <c r="M50" s="58" t="s">
        <v>294</v>
      </c>
      <c r="N50" s="57" t="s">
        <v>293</v>
      </c>
      <c r="O50" s="58" t="s">
        <v>294</v>
      </c>
      <c r="P50" s="57" t="s">
        <v>293</v>
      </c>
      <c r="Q50" s="58" t="s">
        <v>294</v>
      </c>
      <c r="R50" s="57" t="s">
        <v>293</v>
      </c>
      <c r="S50" s="58" t="s">
        <v>294</v>
      </c>
      <c r="T50" s="57" t="s">
        <v>293</v>
      </c>
      <c r="U50" s="58" t="s">
        <v>294</v>
      </c>
      <c r="V50" s="57" t="s">
        <v>293</v>
      </c>
      <c r="W50" s="58" t="s">
        <v>294</v>
      </c>
      <c r="X50" s="57" t="s">
        <v>293</v>
      </c>
      <c r="Y50" s="58" t="s">
        <v>294</v>
      </c>
      <c r="Z50" s="57" t="s">
        <v>293</v>
      </c>
      <c r="AA50" s="58" t="s">
        <v>294</v>
      </c>
      <c r="AB50" s="57" t="s">
        <v>293</v>
      </c>
      <c r="AC50" s="58" t="s">
        <v>294</v>
      </c>
      <c r="AD50" s="57" t="s">
        <v>293</v>
      </c>
      <c r="AE50" s="58" t="s">
        <v>294</v>
      </c>
      <c r="AF50" s="57" t="s">
        <v>293</v>
      </c>
      <c r="AG50" s="58" t="s">
        <v>294</v>
      </c>
      <c r="AH50" s="57" t="s">
        <v>293</v>
      </c>
      <c r="AI50" s="58" t="s">
        <v>294</v>
      </c>
      <c r="AJ50" s="57" t="s">
        <v>293</v>
      </c>
      <c r="AK50" s="58" t="s">
        <v>294</v>
      </c>
      <c r="AL50" s="57" t="s">
        <v>293</v>
      </c>
      <c r="AM50" s="58" t="s">
        <v>294</v>
      </c>
      <c r="AN50" s="57" t="s">
        <v>293</v>
      </c>
      <c r="AO50" s="58" t="s">
        <v>294</v>
      </c>
      <c r="AP50" s="57" t="s">
        <v>293</v>
      </c>
      <c r="AQ50" s="58" t="s">
        <v>294</v>
      </c>
      <c r="AR50" s="57" t="s">
        <v>293</v>
      </c>
      <c r="AS50" s="58" t="s">
        <v>294</v>
      </c>
      <c r="AT50" s="57" t="s">
        <v>293</v>
      </c>
      <c r="AU50" s="58" t="s">
        <v>294</v>
      </c>
      <c r="AV50" s="57" t="s">
        <v>293</v>
      </c>
      <c r="AW50" s="58" t="s">
        <v>294</v>
      </c>
      <c r="AX50" s="57" t="s">
        <v>293</v>
      </c>
      <c r="AY50" s="58" t="s">
        <v>294</v>
      </c>
      <c r="AZ50" s="57" t="s">
        <v>293</v>
      </c>
      <c r="BA50" s="58" t="s">
        <v>294</v>
      </c>
      <c r="BB50" s="57" t="s">
        <v>293</v>
      </c>
      <c r="BC50" s="58" t="s">
        <v>294</v>
      </c>
      <c r="BD50" s="57" t="s">
        <v>293</v>
      </c>
      <c r="BE50" s="58" t="s">
        <v>294</v>
      </c>
      <c r="BF50" s="57" t="s">
        <v>293</v>
      </c>
      <c r="BG50" s="58" t="s">
        <v>294</v>
      </c>
      <c r="BH50" s="57" t="s">
        <v>293</v>
      </c>
      <c r="BI50" s="58" t="s">
        <v>294</v>
      </c>
      <c r="BJ50" s="57" t="s">
        <v>293</v>
      </c>
      <c r="BK50" s="58" t="s">
        <v>294</v>
      </c>
      <c r="BL50" s="57" t="s">
        <v>293</v>
      </c>
      <c r="BM50" s="58" t="s">
        <v>294</v>
      </c>
      <c r="BN50" s="57" t="s">
        <v>293</v>
      </c>
      <c r="BO50" s="58" t="s">
        <v>294</v>
      </c>
    </row>
    <row r="51" spans="1:67" x14ac:dyDescent="0.25">
      <c r="A51" s="84" t="s">
        <v>271</v>
      </c>
      <c r="B51" s="84">
        <v>5773</v>
      </c>
      <c r="C51" s="84">
        <v>36565</v>
      </c>
      <c r="D51" s="84">
        <v>393198</v>
      </c>
      <c r="E51" s="84">
        <v>813401</v>
      </c>
      <c r="F51" s="84"/>
      <c r="G51" s="84"/>
      <c r="H51" s="84">
        <v>453683</v>
      </c>
      <c r="I51" s="84">
        <v>1482881</v>
      </c>
      <c r="J51" s="84">
        <v>122353</v>
      </c>
      <c r="K51" s="84">
        <v>343056</v>
      </c>
      <c r="L51" s="84">
        <v>771447</v>
      </c>
      <c r="M51" s="84">
        <v>1823948</v>
      </c>
      <c r="N51" s="84"/>
      <c r="O51" s="84"/>
      <c r="P51" s="84">
        <v>5804</v>
      </c>
      <c r="Q51" s="84">
        <v>10402</v>
      </c>
      <c r="R51" s="84">
        <v>186846</v>
      </c>
      <c r="S51" s="84">
        <v>528441</v>
      </c>
      <c r="T51" s="84">
        <v>64010</v>
      </c>
      <c r="U51" s="84">
        <v>160380</v>
      </c>
      <c r="V51" s="84">
        <v>1674772</v>
      </c>
      <c r="W51" s="84">
        <v>3780946</v>
      </c>
      <c r="X51" s="84">
        <v>921729</v>
      </c>
      <c r="Y51" s="84">
        <v>2394660</v>
      </c>
      <c r="Z51" s="84">
        <v>249259</v>
      </c>
      <c r="AA51" s="84">
        <v>816474</v>
      </c>
      <c r="AB51" s="84">
        <v>79384</v>
      </c>
      <c r="AC51" s="84">
        <v>207571</v>
      </c>
      <c r="AD51" s="84">
        <v>42021</v>
      </c>
      <c r="AE51" s="84">
        <v>143410</v>
      </c>
      <c r="AF51" s="84">
        <v>14228</v>
      </c>
      <c r="AG51" s="84">
        <v>31689</v>
      </c>
      <c r="AH51" s="84">
        <v>21262</v>
      </c>
      <c r="AI51" s="84">
        <v>53131</v>
      </c>
      <c r="AJ51" s="84">
        <v>246616</v>
      </c>
      <c r="AK51" s="84">
        <v>463811</v>
      </c>
      <c r="AL51" s="84">
        <v>526683.71799999988</v>
      </c>
      <c r="AM51" s="84">
        <v>1831070.0819999999</v>
      </c>
      <c r="AN51" s="84">
        <v>17476</v>
      </c>
      <c r="AO51" s="84">
        <v>33296</v>
      </c>
      <c r="AP51" s="84">
        <v>27592</v>
      </c>
      <c r="AQ51" s="84">
        <v>28019</v>
      </c>
      <c r="AR51" s="84">
        <v>140665</v>
      </c>
      <c r="AS51" s="84">
        <v>357376</v>
      </c>
      <c r="AT51" s="84">
        <v>699811</v>
      </c>
      <c r="AU51" s="84">
        <v>1491829</v>
      </c>
      <c r="AV51" s="84">
        <v>101123</v>
      </c>
      <c r="AW51" s="84">
        <v>389236</v>
      </c>
      <c r="AX51" s="84">
        <v>2274371</v>
      </c>
      <c r="AY51" s="84">
        <v>5758721</v>
      </c>
      <c r="AZ51" s="84">
        <v>59067</v>
      </c>
      <c r="BA51" s="84">
        <v>96172</v>
      </c>
      <c r="BB51" s="84"/>
      <c r="BC51" s="84"/>
      <c r="BD51" s="84">
        <v>334547</v>
      </c>
      <c r="BE51" s="84">
        <v>1133103</v>
      </c>
      <c r="BF51" s="84">
        <v>1745433</v>
      </c>
      <c r="BG51" s="84">
        <v>5292463</v>
      </c>
      <c r="BH51" s="84">
        <v>576530</v>
      </c>
      <c r="BI51" s="84">
        <v>1762016</v>
      </c>
      <c r="BJ51" s="84">
        <v>1177517</v>
      </c>
      <c r="BK51" s="84">
        <v>4044340</v>
      </c>
      <c r="BL51" s="84">
        <v>260060</v>
      </c>
      <c r="BM51" s="84">
        <v>717441</v>
      </c>
      <c r="BN51" s="73">
        <f t="shared" ref="BN51:BN55" si="10">SUM(B51+D51+F51+H51+J51+L51+N51+P51+R51+T51+V51+X51+Z51+AB51+AD51+AF51+AH51+AJ51+AL51+AN51+AP51+AR51+AT51+AV51+AX51+AZ51+BB51+BD51+BF51+BH51+BJ51+BL51)</f>
        <v>13193260.718</v>
      </c>
      <c r="BO51" s="73">
        <f t="shared" ref="BO51:BO55" si="11">SUM(C51+E51+G51+I51+K51+M51+O51+Q51+S51+U51+W51+Y51+AA51+AC51+AE51+AG51+AI51+AK51+AM51+AO51+AQ51+AS51+AU51+AW51+AY51+BA51+BC51+BE51+BG51+BI51+BK51+BM51)</f>
        <v>36025848.082000002</v>
      </c>
    </row>
    <row r="52" spans="1:67" x14ac:dyDescent="0.25">
      <c r="A52" s="84" t="s">
        <v>274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>
        <v>316</v>
      </c>
      <c r="R52" s="84"/>
      <c r="S52" s="84"/>
      <c r="T52" s="84"/>
      <c r="U52" s="84"/>
      <c r="V52" s="84">
        <v>1574</v>
      </c>
      <c r="W52" s="84">
        <v>9219</v>
      </c>
      <c r="X52" s="84">
        <v>49</v>
      </c>
      <c r="Y52" s="84">
        <v>521</v>
      </c>
      <c r="Z52" s="84"/>
      <c r="AA52" s="84"/>
      <c r="AB52" s="84"/>
      <c r="AC52" s="84"/>
      <c r="AD52" s="84"/>
      <c r="AE52" s="84"/>
      <c r="AF52" s="84"/>
      <c r="AG52" s="84">
        <v>-10</v>
      </c>
      <c r="AH52" s="84"/>
      <c r="AI52" s="84"/>
      <c r="AJ52" s="84"/>
      <c r="AK52" s="84"/>
      <c r="AL52" s="84">
        <v>0</v>
      </c>
      <c r="AM52" s="84">
        <v>0</v>
      </c>
      <c r="AN52" s="84"/>
      <c r="AO52" s="84"/>
      <c r="AP52" s="84"/>
      <c r="AQ52" s="84"/>
      <c r="AR52" s="84"/>
      <c r="AS52" s="84"/>
      <c r="AT52" s="84"/>
      <c r="AU52" s="84"/>
      <c r="AV52" s="84">
        <v>-101</v>
      </c>
      <c r="AW52" s="84">
        <v>1532</v>
      </c>
      <c r="AX52" s="84"/>
      <c r="AY52" s="84"/>
      <c r="AZ52" s="84"/>
      <c r="BA52" s="84"/>
      <c r="BB52" s="84"/>
      <c r="BC52" s="84"/>
      <c r="BD52" s="84">
        <v>4000</v>
      </c>
      <c r="BE52" s="84">
        <v>267</v>
      </c>
      <c r="BF52" s="84">
        <v>7130</v>
      </c>
      <c r="BG52" s="84">
        <v>28811</v>
      </c>
      <c r="BH52" s="84">
        <v>0</v>
      </c>
      <c r="BI52" s="84">
        <v>30</v>
      </c>
      <c r="BJ52" s="84"/>
      <c r="BK52" s="84"/>
      <c r="BL52" s="84"/>
      <c r="BM52" s="84"/>
      <c r="BN52" s="73">
        <f t="shared" si="10"/>
        <v>12652</v>
      </c>
      <c r="BO52" s="73">
        <f t="shared" si="11"/>
        <v>40686</v>
      </c>
    </row>
    <row r="53" spans="1:67" x14ac:dyDescent="0.25">
      <c r="A53" s="84" t="s">
        <v>275</v>
      </c>
      <c r="B53" s="84">
        <v>1746</v>
      </c>
      <c r="C53" s="84">
        <v>6119</v>
      </c>
      <c r="D53" s="84">
        <v>37490</v>
      </c>
      <c r="E53" s="84">
        <v>69821</v>
      </c>
      <c r="F53" s="84"/>
      <c r="G53" s="84"/>
      <c r="H53" s="84">
        <v>24997</v>
      </c>
      <c r="I53" s="84">
        <v>85940</v>
      </c>
      <c r="J53" s="84">
        <v>3597</v>
      </c>
      <c r="K53" s="84">
        <v>18007</v>
      </c>
      <c r="L53" s="84">
        <v>195583</v>
      </c>
      <c r="M53" s="84">
        <v>523610</v>
      </c>
      <c r="N53" s="84"/>
      <c r="O53" s="84"/>
      <c r="P53" s="84">
        <v>5403</v>
      </c>
      <c r="Q53" s="84">
        <v>9998</v>
      </c>
      <c r="R53" s="84">
        <v>44307</v>
      </c>
      <c r="S53" s="84">
        <v>87618</v>
      </c>
      <c r="T53" s="84">
        <v>4131</v>
      </c>
      <c r="U53" s="84">
        <v>10339</v>
      </c>
      <c r="V53" s="84">
        <v>-520903</v>
      </c>
      <c r="W53" s="84">
        <v>-1092548</v>
      </c>
      <c r="X53" s="84">
        <v>142026</v>
      </c>
      <c r="Y53" s="84">
        <v>326864</v>
      </c>
      <c r="Z53" s="84">
        <v>26656</v>
      </c>
      <c r="AA53" s="84">
        <v>89538</v>
      </c>
      <c r="AB53" s="84">
        <v>42419</v>
      </c>
      <c r="AC53" s="84">
        <v>114237</v>
      </c>
      <c r="AD53" s="84">
        <v>2101</v>
      </c>
      <c r="AE53" s="84">
        <v>14682</v>
      </c>
      <c r="AF53" s="84">
        <v>-3762</v>
      </c>
      <c r="AG53" s="84">
        <v>-8789</v>
      </c>
      <c r="AH53" s="84">
        <v>1907</v>
      </c>
      <c r="AI53" s="84">
        <v>5007</v>
      </c>
      <c r="AJ53" s="84">
        <v>23438</v>
      </c>
      <c r="AK53" s="84">
        <v>48505</v>
      </c>
      <c r="AL53" s="84">
        <v>93687.047120000003</v>
      </c>
      <c r="AM53" s="84">
        <v>241914.399</v>
      </c>
      <c r="AN53" s="84">
        <v>-10056</v>
      </c>
      <c r="AO53" s="84">
        <v>-19505</v>
      </c>
      <c r="AP53" s="84">
        <v>22085</v>
      </c>
      <c r="AQ53" s="84">
        <v>22432</v>
      </c>
      <c r="AR53" s="84">
        <v>38461</v>
      </c>
      <c r="AS53" s="84">
        <v>109759</v>
      </c>
      <c r="AT53" s="84">
        <v>39922</v>
      </c>
      <c r="AU53" s="84">
        <v>96008</v>
      </c>
      <c r="AV53" s="84">
        <v>-8559</v>
      </c>
      <c r="AW53" s="84">
        <v>-51273</v>
      </c>
      <c r="AX53" s="84">
        <v>120718</v>
      </c>
      <c r="AY53" s="84">
        <v>305950</v>
      </c>
      <c r="AZ53" s="84">
        <v>41601</v>
      </c>
      <c r="BA53" s="84">
        <v>60257</v>
      </c>
      <c r="BB53" s="84"/>
      <c r="BC53" s="84"/>
      <c r="BD53" s="84">
        <v>20204</v>
      </c>
      <c r="BE53" s="84">
        <v>67279</v>
      </c>
      <c r="BF53" s="84">
        <v>88111</v>
      </c>
      <c r="BG53" s="84">
        <v>268247</v>
      </c>
      <c r="BH53" s="84">
        <v>66580</v>
      </c>
      <c r="BI53" s="84">
        <v>259073</v>
      </c>
      <c r="BJ53" s="84">
        <v>783996</v>
      </c>
      <c r="BK53" s="84">
        <v>2556505</v>
      </c>
      <c r="BL53" s="84">
        <v>79362</v>
      </c>
      <c r="BM53" s="84">
        <v>268196</v>
      </c>
      <c r="BN53" s="73">
        <f t="shared" si="10"/>
        <v>1407248.04712</v>
      </c>
      <c r="BO53" s="73">
        <f t="shared" si="11"/>
        <v>4493790.3990000002</v>
      </c>
    </row>
    <row r="54" spans="1:67" x14ac:dyDescent="0.25">
      <c r="A54" s="84" t="s">
        <v>229</v>
      </c>
      <c r="B54" s="84">
        <v>4027</v>
      </c>
      <c r="C54" s="84">
        <v>30446</v>
      </c>
      <c r="D54" s="84">
        <v>355708</v>
      </c>
      <c r="E54" s="84">
        <v>743580</v>
      </c>
      <c r="F54" s="84"/>
      <c r="G54" s="84"/>
      <c r="H54" s="84">
        <v>428686</v>
      </c>
      <c r="I54" s="84">
        <v>1396941</v>
      </c>
      <c r="J54" s="84">
        <v>118756</v>
      </c>
      <c r="K54" s="84">
        <v>325049</v>
      </c>
      <c r="L54" s="84">
        <v>575864</v>
      </c>
      <c r="M54" s="84">
        <v>1300338</v>
      </c>
      <c r="N54" s="84"/>
      <c r="O54" s="84"/>
      <c r="P54" s="84">
        <v>401</v>
      </c>
      <c r="Q54" s="84">
        <v>720</v>
      </c>
      <c r="R54" s="84">
        <v>142539</v>
      </c>
      <c r="S54" s="84">
        <v>440824</v>
      </c>
      <c r="T54" s="84">
        <v>59879</v>
      </c>
      <c r="U54" s="84">
        <v>150041</v>
      </c>
      <c r="V54" s="84">
        <v>1155443</v>
      </c>
      <c r="W54" s="84">
        <v>2697617</v>
      </c>
      <c r="X54" s="84">
        <v>779752</v>
      </c>
      <c r="Y54" s="84">
        <v>2068317</v>
      </c>
      <c r="Z54" s="84">
        <v>222603</v>
      </c>
      <c r="AA54" s="84">
        <v>726936</v>
      </c>
      <c r="AB54" s="84">
        <v>36965</v>
      </c>
      <c r="AC54" s="84">
        <v>93334</v>
      </c>
      <c r="AD54" s="84">
        <v>39921</v>
      </c>
      <c r="AE54" s="84">
        <v>128727</v>
      </c>
      <c r="AF54" s="84">
        <v>10466</v>
      </c>
      <c r="AG54" s="84">
        <v>22890</v>
      </c>
      <c r="AH54" s="84">
        <v>19355</v>
      </c>
      <c r="AI54" s="84">
        <v>48124</v>
      </c>
      <c r="AJ54" s="84">
        <v>223178</v>
      </c>
      <c r="AK54" s="84">
        <v>415306</v>
      </c>
      <c r="AL54" s="84">
        <v>432996.67087999987</v>
      </c>
      <c r="AM54" s="84">
        <v>1589155.683</v>
      </c>
      <c r="AN54" s="84">
        <v>7420</v>
      </c>
      <c r="AO54" s="84">
        <v>13791</v>
      </c>
      <c r="AP54" s="84">
        <v>5507</v>
      </c>
      <c r="AQ54" s="84">
        <v>5587</v>
      </c>
      <c r="AR54" s="84">
        <v>102204</v>
      </c>
      <c r="AS54" s="84">
        <v>247617</v>
      </c>
      <c r="AT54" s="84">
        <v>659889</v>
      </c>
      <c r="AU54" s="84">
        <v>1395821</v>
      </c>
      <c r="AV54" s="84">
        <v>92463</v>
      </c>
      <c r="AW54" s="84">
        <v>339495</v>
      </c>
      <c r="AX54" s="84">
        <v>2153653</v>
      </c>
      <c r="AY54" s="84">
        <v>5452771</v>
      </c>
      <c r="AZ54" s="84">
        <v>17466</v>
      </c>
      <c r="BA54" s="84">
        <v>35915</v>
      </c>
      <c r="BB54" s="84"/>
      <c r="BC54" s="84"/>
      <c r="BD54" s="84">
        <v>318343</v>
      </c>
      <c r="BE54" s="84">
        <v>1066091</v>
      </c>
      <c r="BF54" s="84">
        <v>1664452</v>
      </c>
      <c r="BG54" s="84">
        <v>5053027</v>
      </c>
      <c r="BH54" s="84">
        <v>509950</v>
      </c>
      <c r="BI54" s="84">
        <v>1502973</v>
      </c>
      <c r="BJ54" s="84">
        <v>393521</v>
      </c>
      <c r="BK54" s="84">
        <v>1487835</v>
      </c>
      <c r="BL54" s="84">
        <v>180698</v>
      </c>
      <c r="BM54" s="84">
        <v>449245</v>
      </c>
      <c r="BN54" s="73">
        <f t="shared" si="10"/>
        <v>10712105.670880001</v>
      </c>
      <c r="BO54" s="73">
        <f t="shared" si="11"/>
        <v>29228513.682999998</v>
      </c>
    </row>
    <row r="55" spans="1:67" x14ac:dyDescent="0.25">
      <c r="A55" s="84" t="s">
        <v>230</v>
      </c>
      <c r="B55" s="84">
        <v>3702</v>
      </c>
      <c r="C55" s="84">
        <v>25989</v>
      </c>
      <c r="D55" s="84">
        <v>313001</v>
      </c>
      <c r="E55" s="84">
        <v>730353</v>
      </c>
      <c r="F55" s="84"/>
      <c r="G55" s="84"/>
      <c r="H55" s="84">
        <v>520154</v>
      </c>
      <c r="I55" s="84">
        <v>1645359</v>
      </c>
      <c r="J55" s="84">
        <v>89141</v>
      </c>
      <c r="K55" s="84">
        <v>259087</v>
      </c>
      <c r="L55" s="84">
        <v>488194</v>
      </c>
      <c r="M55" s="84">
        <v>1472563</v>
      </c>
      <c r="N55" s="84"/>
      <c r="O55" s="84"/>
      <c r="P55" s="84">
        <v>1413</v>
      </c>
      <c r="Q55" s="84">
        <v>6770</v>
      </c>
      <c r="R55" s="84">
        <v>156838</v>
      </c>
      <c r="S55" s="84">
        <v>462065</v>
      </c>
      <c r="T55" s="84">
        <v>38286</v>
      </c>
      <c r="U55" s="84">
        <v>100412</v>
      </c>
      <c r="V55" s="84">
        <v>1127244</v>
      </c>
      <c r="W55" s="84">
        <v>3487741</v>
      </c>
      <c r="X55" s="84">
        <v>1048558</v>
      </c>
      <c r="Y55" s="84">
        <v>3346616</v>
      </c>
      <c r="Z55" s="84">
        <v>217555</v>
      </c>
      <c r="AA55" s="84">
        <v>641032</v>
      </c>
      <c r="AB55" s="84">
        <v>26918</v>
      </c>
      <c r="AC55" s="84">
        <v>79529</v>
      </c>
      <c r="AD55" s="84">
        <v>46902</v>
      </c>
      <c r="AE55" s="84">
        <v>140622</v>
      </c>
      <c r="AF55" s="84">
        <v>6325</v>
      </c>
      <c r="AG55" s="84">
        <v>20149</v>
      </c>
      <c r="AH55" s="84">
        <v>17638</v>
      </c>
      <c r="AI55" s="84">
        <v>50058</v>
      </c>
      <c r="AJ55" s="84">
        <v>183856</v>
      </c>
      <c r="AK55" s="84">
        <v>402848</v>
      </c>
      <c r="AL55" s="84">
        <v>354134.85587999987</v>
      </c>
      <c r="AM55" s="84">
        <v>1509370.5630000001</v>
      </c>
      <c r="AN55" s="84">
        <v>5240</v>
      </c>
      <c r="AO55" s="84">
        <v>26742</v>
      </c>
      <c r="AP55" s="84">
        <v>1631</v>
      </c>
      <c r="AQ55" s="84">
        <v>1893</v>
      </c>
      <c r="AR55" s="84">
        <v>79049</v>
      </c>
      <c r="AS55" s="84">
        <v>229960</v>
      </c>
      <c r="AT55" s="84">
        <v>513806</v>
      </c>
      <c r="AU55" s="84">
        <v>1202817</v>
      </c>
      <c r="AV55" s="84">
        <v>113511</v>
      </c>
      <c r="AW55" s="84">
        <v>357980</v>
      </c>
      <c r="AX55" s="84">
        <v>2012554</v>
      </c>
      <c r="AY55" s="84">
        <v>5920815</v>
      </c>
      <c r="AZ55" s="84">
        <v>11878</v>
      </c>
      <c r="BA55" s="84">
        <v>29664</v>
      </c>
      <c r="BB55" s="84"/>
      <c r="BC55" s="84"/>
      <c r="BD55" s="84">
        <v>317824</v>
      </c>
      <c r="BE55" s="84">
        <v>956123</v>
      </c>
      <c r="BF55" s="84">
        <v>2296726</v>
      </c>
      <c r="BG55" s="84">
        <v>4879206</v>
      </c>
      <c r="BH55" s="84">
        <v>503501</v>
      </c>
      <c r="BI55" s="84">
        <v>1652887</v>
      </c>
      <c r="BJ55" s="84">
        <v>447484</v>
      </c>
      <c r="BK55" s="84">
        <v>1826403</v>
      </c>
      <c r="BL55" s="84">
        <v>304918</v>
      </c>
      <c r="BM55" s="84">
        <v>971574</v>
      </c>
      <c r="BN55" s="73">
        <f t="shared" si="10"/>
        <v>11247981.85588</v>
      </c>
      <c r="BO55" s="73">
        <f t="shared" si="11"/>
        <v>32436627.563000001</v>
      </c>
    </row>
    <row r="57" spans="1:67" x14ac:dyDescent="0.25">
      <c r="A57" s="24" t="s">
        <v>222</v>
      </c>
    </row>
    <row r="58" spans="1:67" x14ac:dyDescent="0.25">
      <c r="A58" s="1" t="s">
        <v>0</v>
      </c>
      <c r="B58" s="103" t="s">
        <v>1</v>
      </c>
      <c r="C58" s="104"/>
      <c r="D58" s="103" t="s">
        <v>282</v>
      </c>
      <c r="E58" s="104"/>
      <c r="F58" s="103" t="s">
        <v>2</v>
      </c>
      <c r="G58" s="104"/>
      <c r="H58" s="103" t="s">
        <v>3</v>
      </c>
      <c r="I58" s="104"/>
      <c r="J58" s="103" t="s">
        <v>4</v>
      </c>
      <c r="K58" s="104"/>
      <c r="L58" s="103" t="s">
        <v>283</v>
      </c>
      <c r="M58" s="104"/>
      <c r="N58" s="103" t="s">
        <v>6</v>
      </c>
      <c r="O58" s="104"/>
      <c r="P58" s="103" t="s">
        <v>5</v>
      </c>
      <c r="Q58" s="104"/>
      <c r="R58" s="103" t="s">
        <v>7</v>
      </c>
      <c r="S58" s="104"/>
      <c r="T58" s="103" t="s">
        <v>284</v>
      </c>
      <c r="U58" s="104"/>
      <c r="V58" s="103" t="s">
        <v>8</v>
      </c>
      <c r="W58" s="104"/>
      <c r="X58" s="103" t="s">
        <v>9</v>
      </c>
      <c r="Y58" s="104"/>
      <c r="Z58" s="103" t="s">
        <v>10</v>
      </c>
      <c r="AA58" s="104"/>
      <c r="AB58" s="103" t="s">
        <v>304</v>
      </c>
      <c r="AC58" s="104"/>
      <c r="AD58" s="103" t="s">
        <v>11</v>
      </c>
      <c r="AE58" s="104"/>
      <c r="AF58" s="103" t="s">
        <v>12</v>
      </c>
      <c r="AG58" s="104"/>
      <c r="AH58" s="103" t="s">
        <v>285</v>
      </c>
      <c r="AI58" s="104"/>
      <c r="AJ58" s="103" t="s">
        <v>290</v>
      </c>
      <c r="AK58" s="104"/>
      <c r="AL58" s="103" t="s">
        <v>13</v>
      </c>
      <c r="AM58" s="104"/>
      <c r="AN58" s="103" t="s">
        <v>286</v>
      </c>
      <c r="AO58" s="104"/>
      <c r="AP58" s="103" t="s">
        <v>287</v>
      </c>
      <c r="AQ58" s="104"/>
      <c r="AR58" s="103" t="s">
        <v>291</v>
      </c>
      <c r="AS58" s="104"/>
      <c r="AT58" s="103" t="s">
        <v>305</v>
      </c>
      <c r="AU58" s="104"/>
      <c r="AV58" s="103" t="s">
        <v>14</v>
      </c>
      <c r="AW58" s="104"/>
      <c r="AX58" s="103" t="s">
        <v>15</v>
      </c>
      <c r="AY58" s="104"/>
      <c r="AZ58" s="103" t="s">
        <v>16</v>
      </c>
      <c r="BA58" s="104"/>
      <c r="BB58" s="103" t="s">
        <v>17</v>
      </c>
      <c r="BC58" s="104"/>
      <c r="BD58" s="103" t="s">
        <v>18</v>
      </c>
      <c r="BE58" s="104"/>
      <c r="BF58" s="103" t="s">
        <v>288</v>
      </c>
      <c r="BG58" s="104"/>
      <c r="BH58" s="103" t="s">
        <v>289</v>
      </c>
      <c r="BI58" s="104"/>
      <c r="BJ58" s="103" t="s">
        <v>19</v>
      </c>
      <c r="BK58" s="104"/>
      <c r="BL58" s="103" t="s">
        <v>20</v>
      </c>
      <c r="BM58" s="104"/>
      <c r="BN58" s="105" t="s">
        <v>21</v>
      </c>
      <c r="BO58" s="106"/>
    </row>
    <row r="59" spans="1:67" ht="30" x14ac:dyDescent="0.25">
      <c r="A59" s="1"/>
      <c r="B59" s="57" t="s">
        <v>293</v>
      </c>
      <c r="C59" s="58" t="s">
        <v>294</v>
      </c>
      <c r="D59" s="57" t="s">
        <v>293</v>
      </c>
      <c r="E59" s="58" t="s">
        <v>294</v>
      </c>
      <c r="F59" s="57" t="s">
        <v>293</v>
      </c>
      <c r="G59" s="58" t="s">
        <v>294</v>
      </c>
      <c r="H59" s="57" t="s">
        <v>293</v>
      </c>
      <c r="I59" s="58" t="s">
        <v>294</v>
      </c>
      <c r="J59" s="57" t="s">
        <v>293</v>
      </c>
      <c r="K59" s="58" t="s">
        <v>294</v>
      </c>
      <c r="L59" s="57" t="s">
        <v>293</v>
      </c>
      <c r="M59" s="58" t="s">
        <v>294</v>
      </c>
      <c r="N59" s="57" t="s">
        <v>293</v>
      </c>
      <c r="O59" s="58" t="s">
        <v>294</v>
      </c>
      <c r="P59" s="57" t="s">
        <v>293</v>
      </c>
      <c r="Q59" s="58" t="s">
        <v>294</v>
      </c>
      <c r="R59" s="57" t="s">
        <v>293</v>
      </c>
      <c r="S59" s="58" t="s">
        <v>294</v>
      </c>
      <c r="T59" s="57" t="s">
        <v>293</v>
      </c>
      <c r="U59" s="58" t="s">
        <v>294</v>
      </c>
      <c r="V59" s="57" t="s">
        <v>293</v>
      </c>
      <c r="W59" s="58" t="s">
        <v>294</v>
      </c>
      <c r="X59" s="57" t="s">
        <v>293</v>
      </c>
      <c r="Y59" s="58" t="s">
        <v>294</v>
      </c>
      <c r="Z59" s="57" t="s">
        <v>293</v>
      </c>
      <c r="AA59" s="58" t="s">
        <v>294</v>
      </c>
      <c r="AB59" s="57" t="s">
        <v>293</v>
      </c>
      <c r="AC59" s="58" t="s">
        <v>294</v>
      </c>
      <c r="AD59" s="57" t="s">
        <v>293</v>
      </c>
      <c r="AE59" s="58" t="s">
        <v>294</v>
      </c>
      <c r="AF59" s="57" t="s">
        <v>293</v>
      </c>
      <c r="AG59" s="58" t="s">
        <v>294</v>
      </c>
      <c r="AH59" s="57" t="s">
        <v>293</v>
      </c>
      <c r="AI59" s="58" t="s">
        <v>294</v>
      </c>
      <c r="AJ59" s="57" t="s">
        <v>293</v>
      </c>
      <c r="AK59" s="58" t="s">
        <v>294</v>
      </c>
      <c r="AL59" s="57" t="s">
        <v>293</v>
      </c>
      <c r="AM59" s="58" t="s">
        <v>294</v>
      </c>
      <c r="AN59" s="57" t="s">
        <v>293</v>
      </c>
      <c r="AO59" s="58" t="s">
        <v>294</v>
      </c>
      <c r="AP59" s="57" t="s">
        <v>293</v>
      </c>
      <c r="AQ59" s="58" t="s">
        <v>294</v>
      </c>
      <c r="AR59" s="57" t="s">
        <v>293</v>
      </c>
      <c r="AS59" s="58" t="s">
        <v>294</v>
      </c>
      <c r="AT59" s="57" t="s">
        <v>293</v>
      </c>
      <c r="AU59" s="58" t="s">
        <v>294</v>
      </c>
      <c r="AV59" s="57" t="s">
        <v>293</v>
      </c>
      <c r="AW59" s="58" t="s">
        <v>294</v>
      </c>
      <c r="AX59" s="57" t="s">
        <v>293</v>
      </c>
      <c r="AY59" s="58" t="s">
        <v>294</v>
      </c>
      <c r="AZ59" s="57" t="s">
        <v>293</v>
      </c>
      <c r="BA59" s="58" t="s">
        <v>294</v>
      </c>
      <c r="BB59" s="57" t="s">
        <v>293</v>
      </c>
      <c r="BC59" s="58" t="s">
        <v>294</v>
      </c>
      <c r="BD59" s="57" t="s">
        <v>293</v>
      </c>
      <c r="BE59" s="58" t="s">
        <v>294</v>
      </c>
      <c r="BF59" s="57" t="s">
        <v>293</v>
      </c>
      <c r="BG59" s="58" t="s">
        <v>294</v>
      </c>
      <c r="BH59" s="57" t="s">
        <v>293</v>
      </c>
      <c r="BI59" s="58" t="s">
        <v>294</v>
      </c>
      <c r="BJ59" s="57" t="s">
        <v>293</v>
      </c>
      <c r="BK59" s="58" t="s">
        <v>294</v>
      </c>
      <c r="BL59" s="57" t="s">
        <v>293</v>
      </c>
      <c r="BM59" s="58" t="s">
        <v>294</v>
      </c>
      <c r="BN59" s="57" t="s">
        <v>293</v>
      </c>
      <c r="BO59" s="58" t="s">
        <v>294</v>
      </c>
    </row>
    <row r="60" spans="1:67" x14ac:dyDescent="0.25">
      <c r="A60" s="84" t="s">
        <v>271</v>
      </c>
      <c r="B60" s="84">
        <v>106978</v>
      </c>
      <c r="C60" s="84">
        <v>236792</v>
      </c>
      <c r="D60" s="84"/>
      <c r="E60" s="84"/>
      <c r="F60" s="84"/>
      <c r="G60" s="84"/>
      <c r="H60" s="84">
        <v>83888</v>
      </c>
      <c r="I60" s="84">
        <v>318451</v>
      </c>
      <c r="J60" s="84">
        <v>70755</v>
      </c>
      <c r="K60" s="84">
        <v>282886</v>
      </c>
      <c r="L60" s="84">
        <v>20469</v>
      </c>
      <c r="M60" s="84">
        <v>81897</v>
      </c>
      <c r="N60" s="84"/>
      <c r="O60" s="84"/>
      <c r="P60" s="84"/>
      <c r="Q60" s="84"/>
      <c r="R60" s="84">
        <v>54474</v>
      </c>
      <c r="S60" s="84">
        <v>172469</v>
      </c>
      <c r="T60" s="84">
        <v>32</v>
      </c>
      <c r="U60" s="84">
        <v>34</v>
      </c>
      <c r="V60" s="84">
        <v>4619</v>
      </c>
      <c r="W60" s="84">
        <v>13787</v>
      </c>
      <c r="X60" s="84">
        <v>71874</v>
      </c>
      <c r="Y60" s="84">
        <v>431667</v>
      </c>
      <c r="Z60" s="84">
        <v>127936</v>
      </c>
      <c r="AA60" s="84">
        <v>385863</v>
      </c>
      <c r="AB60" s="84"/>
      <c r="AC60" s="84"/>
      <c r="AD60" s="84">
        <v>43551</v>
      </c>
      <c r="AE60" s="84">
        <v>108603</v>
      </c>
      <c r="AF60" s="84">
        <v>43</v>
      </c>
      <c r="AG60" s="84">
        <v>343</v>
      </c>
      <c r="AH60" s="84"/>
      <c r="AI60" s="84"/>
      <c r="AJ60" s="84"/>
      <c r="AK60" s="84"/>
      <c r="AL60" s="84">
        <v>158841.88783750008</v>
      </c>
      <c r="AM60" s="84">
        <v>564943.99853750004</v>
      </c>
      <c r="AN60" s="84"/>
      <c r="AO60" s="84"/>
      <c r="AP60" s="84">
        <v>7059</v>
      </c>
      <c r="AQ60" s="84">
        <v>28476</v>
      </c>
      <c r="AR60" s="84">
        <v>68875</v>
      </c>
      <c r="AS60" s="84">
        <v>238998</v>
      </c>
      <c r="AT60" s="84"/>
      <c r="AU60" s="84"/>
      <c r="AV60" s="84">
        <v>9394</v>
      </c>
      <c r="AW60" s="84">
        <v>38127</v>
      </c>
      <c r="AX60" s="84">
        <v>89627</v>
      </c>
      <c r="AY60" s="84">
        <v>232910</v>
      </c>
      <c r="AZ60" s="84">
        <v>953</v>
      </c>
      <c r="BA60" s="84">
        <v>4100</v>
      </c>
      <c r="BB60" s="84"/>
      <c r="BC60" s="84"/>
      <c r="BD60" s="84">
        <v>886131</v>
      </c>
      <c r="BE60" s="84">
        <v>2589299</v>
      </c>
      <c r="BF60" s="84">
        <v>1255021</v>
      </c>
      <c r="BG60" s="84">
        <v>4823647</v>
      </c>
      <c r="BH60" s="84">
        <v>131293</v>
      </c>
      <c r="BI60" s="84">
        <v>642814</v>
      </c>
      <c r="BJ60" s="84">
        <v>214465</v>
      </c>
      <c r="BK60" s="84">
        <v>1072951</v>
      </c>
      <c r="BL60" s="84">
        <v>6901</v>
      </c>
      <c r="BM60" s="84">
        <v>38539</v>
      </c>
      <c r="BN60" s="73">
        <f t="shared" ref="BN60:BN64" si="12">SUM(B60+D60+F60+H60+J60+L60+N60+P60+R60+T60+V60+X60+Z60+AB60+AD60+AF60+AH60+AJ60+AL60+AN60+AP60+AR60+AT60+AV60+AX60+AZ60+BB60+BD60+BF60+BH60+BJ60+BL60)</f>
        <v>3413179.8878375003</v>
      </c>
      <c r="BO60" s="73">
        <f t="shared" ref="BO60:BO64" si="13">SUM(C60+E60+G60+I60+K60+M60+O60+Q60+S60+U60+W60+Y60+AA60+AC60+AE60+AG60+AI60+AK60+AM60+AO60+AQ60+AS60+AU60+AW60+AY60+BA60+BC60+BE60+BG60+BI60+BK60+BM60)</f>
        <v>12307596.998537499</v>
      </c>
    </row>
    <row r="61" spans="1:67" x14ac:dyDescent="0.25">
      <c r="A61" s="84" t="s">
        <v>274</v>
      </c>
      <c r="B61" s="84"/>
      <c r="C61" s="84"/>
      <c r="D61" s="84"/>
      <c r="E61" s="84"/>
      <c r="F61" s="84"/>
      <c r="G61" s="84"/>
      <c r="H61" s="84"/>
      <c r="I61" s="84"/>
      <c r="J61" s="84">
        <v>5317</v>
      </c>
      <c r="K61" s="84">
        <v>5982</v>
      </c>
      <c r="L61" s="84">
        <v>10716</v>
      </c>
      <c r="M61" s="84">
        <v>10716</v>
      </c>
      <c r="N61" s="84"/>
      <c r="O61" s="84"/>
      <c r="P61" s="84"/>
      <c r="Q61" s="84"/>
      <c r="R61" s="84">
        <v>5429</v>
      </c>
      <c r="S61" s="84">
        <v>18761</v>
      </c>
      <c r="T61" s="84"/>
      <c r="U61" s="84"/>
      <c r="V61" s="84"/>
      <c r="W61" s="84">
        <v>764</v>
      </c>
      <c r="X61" s="84">
        <v>10927</v>
      </c>
      <c r="Y61" s="84">
        <v>22122</v>
      </c>
      <c r="Z61" s="84">
        <v>28000</v>
      </c>
      <c r="AA61" s="84">
        <v>32456</v>
      </c>
      <c r="AB61" s="84"/>
      <c r="AC61" s="84"/>
      <c r="AD61" s="84">
        <v>-209</v>
      </c>
      <c r="AE61" s="84">
        <v>4590</v>
      </c>
      <c r="AF61" s="84"/>
      <c r="AG61" s="84"/>
      <c r="AH61" s="84"/>
      <c r="AI61" s="84"/>
      <c r="AJ61" s="84"/>
      <c r="AK61" s="84"/>
      <c r="AL61" s="84">
        <v>0</v>
      </c>
      <c r="AM61" s="84">
        <v>0</v>
      </c>
      <c r="AN61" s="84"/>
      <c r="AO61" s="84"/>
      <c r="AP61" s="84">
        <v>2440</v>
      </c>
      <c r="AQ61" s="84">
        <v>5808</v>
      </c>
      <c r="AR61" s="84">
        <v>13799</v>
      </c>
      <c r="AS61" s="84">
        <v>15523</v>
      </c>
      <c r="AT61" s="84"/>
      <c r="AU61" s="84"/>
      <c r="AV61" s="84"/>
      <c r="AW61" s="84"/>
      <c r="AX61" s="84">
        <v>18454</v>
      </c>
      <c r="AY61" s="84">
        <v>30508</v>
      </c>
      <c r="AZ61" s="84"/>
      <c r="BA61" s="84"/>
      <c r="BB61" s="84"/>
      <c r="BC61" s="84"/>
      <c r="BD61" s="84">
        <v>178863</v>
      </c>
      <c r="BE61" s="84">
        <v>393970</v>
      </c>
      <c r="BF61" s="84">
        <v>118</v>
      </c>
      <c r="BG61" s="84">
        <v>210409</v>
      </c>
      <c r="BH61" s="84">
        <v>68475</v>
      </c>
      <c r="BI61" s="84">
        <v>71918</v>
      </c>
      <c r="BJ61" s="84">
        <v>-1778</v>
      </c>
      <c r="BK61" s="84">
        <v>137776</v>
      </c>
      <c r="BL61" s="84"/>
      <c r="BM61" s="84"/>
      <c r="BN61" s="73">
        <f t="shared" si="12"/>
        <v>340551</v>
      </c>
      <c r="BO61" s="73">
        <f t="shared" si="13"/>
        <v>961303</v>
      </c>
    </row>
    <row r="62" spans="1:67" x14ac:dyDescent="0.25">
      <c r="A62" s="84" t="s">
        <v>275</v>
      </c>
      <c r="B62" s="84">
        <v>69536</v>
      </c>
      <c r="C62" s="84">
        <v>153659</v>
      </c>
      <c r="D62" s="84"/>
      <c r="E62" s="84"/>
      <c r="F62" s="84"/>
      <c r="G62" s="84"/>
      <c r="H62" s="84">
        <v>42728</v>
      </c>
      <c r="I62" s="84">
        <v>209179</v>
      </c>
      <c r="J62" s="84">
        <v>39138</v>
      </c>
      <c r="K62" s="84">
        <v>176469</v>
      </c>
      <c r="L62" s="84">
        <v>3750</v>
      </c>
      <c r="M62" s="84">
        <v>38382</v>
      </c>
      <c r="N62" s="84"/>
      <c r="O62" s="84"/>
      <c r="P62" s="84"/>
      <c r="Q62" s="84"/>
      <c r="R62" s="84">
        <v>35659</v>
      </c>
      <c r="S62" s="84">
        <v>118012</v>
      </c>
      <c r="T62" s="84">
        <v>29</v>
      </c>
      <c r="U62" s="84">
        <v>31</v>
      </c>
      <c r="V62" s="84">
        <v>-2988</v>
      </c>
      <c r="W62" s="84">
        <v>-8647</v>
      </c>
      <c r="X62" s="84">
        <v>37320</v>
      </c>
      <c r="Y62" s="84">
        <v>295273</v>
      </c>
      <c r="Z62" s="84">
        <v>90204</v>
      </c>
      <c r="AA62" s="84">
        <v>179033</v>
      </c>
      <c r="AB62" s="84"/>
      <c r="AC62" s="84"/>
      <c r="AD62" s="84">
        <v>5950</v>
      </c>
      <c r="AE62" s="84">
        <v>32767</v>
      </c>
      <c r="AF62" s="84">
        <v>-33</v>
      </c>
      <c r="AG62" s="84">
        <v>-276</v>
      </c>
      <c r="AH62" s="84"/>
      <c r="AI62" s="84"/>
      <c r="AJ62" s="84"/>
      <c r="AK62" s="84"/>
      <c r="AL62" s="84">
        <v>24943.650467497209</v>
      </c>
      <c r="AM62" s="84">
        <v>176999.17563750001</v>
      </c>
      <c r="AN62" s="84"/>
      <c r="AO62" s="84"/>
      <c r="AP62" s="84">
        <v>2297</v>
      </c>
      <c r="AQ62" s="84">
        <v>9119</v>
      </c>
      <c r="AR62" s="84">
        <v>71879</v>
      </c>
      <c r="AS62" s="84">
        <v>155370</v>
      </c>
      <c r="AT62" s="84"/>
      <c r="AU62" s="84"/>
      <c r="AV62" s="84">
        <v>-5198</v>
      </c>
      <c r="AW62" s="84">
        <v>-18013</v>
      </c>
      <c r="AX62" s="84">
        <v>69632</v>
      </c>
      <c r="AY62" s="84">
        <v>192552</v>
      </c>
      <c r="AZ62" s="84">
        <v>290</v>
      </c>
      <c r="BA62" s="84">
        <v>1247</v>
      </c>
      <c r="BB62" s="84"/>
      <c r="BC62" s="84"/>
      <c r="BD62" s="84">
        <v>884069</v>
      </c>
      <c r="BE62" s="84">
        <v>2451228</v>
      </c>
      <c r="BF62" s="84">
        <v>392509</v>
      </c>
      <c r="BG62" s="84">
        <v>1768432</v>
      </c>
      <c r="BH62" s="84">
        <v>26603</v>
      </c>
      <c r="BI62" s="84">
        <v>231793</v>
      </c>
      <c r="BJ62" s="84">
        <v>22375</v>
      </c>
      <c r="BK62" s="84">
        <v>465357</v>
      </c>
      <c r="BL62" s="84">
        <v>4990</v>
      </c>
      <c r="BM62" s="84">
        <v>22732</v>
      </c>
      <c r="BN62" s="73">
        <f t="shared" si="12"/>
        <v>1815682.6504674973</v>
      </c>
      <c r="BO62" s="73">
        <f t="shared" si="13"/>
        <v>6650698.1756375004</v>
      </c>
    </row>
    <row r="63" spans="1:67" x14ac:dyDescent="0.25">
      <c r="A63" s="84" t="s">
        <v>229</v>
      </c>
      <c r="B63" s="84">
        <v>37442</v>
      </c>
      <c r="C63" s="84">
        <v>83133</v>
      </c>
      <c r="D63" s="84"/>
      <c r="E63" s="84"/>
      <c r="F63" s="84"/>
      <c r="G63" s="84"/>
      <c r="H63" s="84">
        <v>41160</v>
      </c>
      <c r="I63" s="84">
        <v>109272</v>
      </c>
      <c r="J63" s="84">
        <v>36935</v>
      </c>
      <c r="K63" s="84">
        <v>112399</v>
      </c>
      <c r="L63" s="84">
        <v>27435</v>
      </c>
      <c r="M63" s="84">
        <v>54231</v>
      </c>
      <c r="N63" s="84"/>
      <c r="O63" s="84"/>
      <c r="P63" s="84"/>
      <c r="Q63" s="84"/>
      <c r="R63" s="84">
        <v>24245</v>
      </c>
      <c r="S63" s="84">
        <v>73218</v>
      </c>
      <c r="T63" s="84">
        <v>4</v>
      </c>
      <c r="U63" s="84">
        <v>3</v>
      </c>
      <c r="V63" s="84">
        <v>1631</v>
      </c>
      <c r="W63" s="84">
        <v>5904</v>
      </c>
      <c r="X63" s="84">
        <v>45481</v>
      </c>
      <c r="Y63" s="84">
        <v>158516</v>
      </c>
      <c r="Z63" s="84">
        <v>65732</v>
      </c>
      <c r="AA63" s="84">
        <v>239286</v>
      </c>
      <c r="AB63" s="84"/>
      <c r="AC63" s="84"/>
      <c r="AD63" s="84">
        <v>37391</v>
      </c>
      <c r="AE63" s="84">
        <v>80426</v>
      </c>
      <c r="AF63" s="84">
        <v>10</v>
      </c>
      <c r="AG63" s="84">
        <v>67</v>
      </c>
      <c r="AH63" s="84"/>
      <c r="AI63" s="84"/>
      <c r="AJ63" s="84"/>
      <c r="AK63" s="84"/>
      <c r="AL63" s="84">
        <v>133898.23737000287</v>
      </c>
      <c r="AM63" s="84">
        <v>387944.82290000003</v>
      </c>
      <c r="AN63" s="84"/>
      <c r="AO63" s="84"/>
      <c r="AP63" s="84">
        <v>7202</v>
      </c>
      <c r="AQ63" s="84">
        <v>25165</v>
      </c>
      <c r="AR63" s="84">
        <v>10795</v>
      </c>
      <c r="AS63" s="84">
        <v>99151</v>
      </c>
      <c r="AT63" s="84"/>
      <c r="AU63" s="84"/>
      <c r="AV63" s="84">
        <v>4196</v>
      </c>
      <c r="AW63" s="84">
        <v>20114</v>
      </c>
      <c r="AX63" s="84">
        <v>38449</v>
      </c>
      <c r="AY63" s="84">
        <v>70866</v>
      </c>
      <c r="AZ63" s="84">
        <v>663</v>
      </c>
      <c r="BA63" s="84">
        <v>2853</v>
      </c>
      <c r="BB63" s="84"/>
      <c r="BC63" s="84"/>
      <c r="BD63" s="84">
        <v>180925</v>
      </c>
      <c r="BE63" s="84">
        <v>532041</v>
      </c>
      <c r="BF63" s="84">
        <v>862630</v>
      </c>
      <c r="BG63" s="84">
        <v>3265624</v>
      </c>
      <c r="BH63" s="84">
        <v>173165</v>
      </c>
      <c r="BI63" s="84">
        <v>482939</v>
      </c>
      <c r="BJ63" s="84">
        <v>190312</v>
      </c>
      <c r="BK63" s="84">
        <v>745370</v>
      </c>
      <c r="BL63" s="84">
        <v>1911</v>
      </c>
      <c r="BM63" s="84">
        <v>15807</v>
      </c>
      <c r="BN63" s="73">
        <f t="shared" si="12"/>
        <v>1921612.237370003</v>
      </c>
      <c r="BO63" s="73">
        <f t="shared" si="13"/>
        <v>6564329.8229</v>
      </c>
    </row>
    <row r="64" spans="1:67" x14ac:dyDescent="0.25">
      <c r="A64" s="84" t="s">
        <v>230</v>
      </c>
      <c r="B64" s="84">
        <v>33849</v>
      </c>
      <c r="C64" s="84">
        <v>111749</v>
      </c>
      <c r="D64" s="84"/>
      <c r="E64" s="84"/>
      <c r="F64" s="84"/>
      <c r="G64" s="84"/>
      <c r="H64" s="84">
        <v>35123</v>
      </c>
      <c r="I64" s="84">
        <v>94540</v>
      </c>
      <c r="J64" s="84">
        <v>46992</v>
      </c>
      <c r="K64" s="84">
        <v>87396</v>
      </c>
      <c r="L64" s="84">
        <v>18780</v>
      </c>
      <c r="M64" s="84">
        <v>48112</v>
      </c>
      <c r="N64" s="84"/>
      <c r="O64" s="84"/>
      <c r="P64" s="84"/>
      <c r="Q64" s="84"/>
      <c r="R64" s="84">
        <v>23690</v>
      </c>
      <c r="S64" s="84">
        <v>66301</v>
      </c>
      <c r="T64" s="84"/>
      <c r="U64" s="84"/>
      <c r="V64" s="84">
        <v>2374</v>
      </c>
      <c r="W64" s="84">
        <v>8567</v>
      </c>
      <c r="X64" s="84">
        <v>40700</v>
      </c>
      <c r="Y64" s="84">
        <v>113846</v>
      </c>
      <c r="Z64" s="84">
        <v>42880</v>
      </c>
      <c r="AA64" s="84">
        <v>181727</v>
      </c>
      <c r="AB64" s="84"/>
      <c r="AC64" s="84"/>
      <c r="AD64" s="84">
        <v>22954</v>
      </c>
      <c r="AE64" s="84">
        <v>67449</v>
      </c>
      <c r="AF64" s="84">
        <v>37</v>
      </c>
      <c r="AG64" s="84">
        <v>89</v>
      </c>
      <c r="AH64" s="84"/>
      <c r="AI64" s="84"/>
      <c r="AJ64" s="84"/>
      <c r="AK64" s="84"/>
      <c r="AL64" s="84">
        <v>103196.96537000287</v>
      </c>
      <c r="AM64" s="84">
        <v>417200.41390000004</v>
      </c>
      <c r="AN64" s="84"/>
      <c r="AO64" s="84"/>
      <c r="AP64" s="84">
        <v>10505</v>
      </c>
      <c r="AQ64" s="84">
        <v>34884</v>
      </c>
      <c r="AR64" s="84">
        <v>28058</v>
      </c>
      <c r="AS64" s="84">
        <v>90221</v>
      </c>
      <c r="AT64" s="84"/>
      <c r="AU64" s="84"/>
      <c r="AV64" s="84">
        <v>7255</v>
      </c>
      <c r="AW64" s="84">
        <v>21840</v>
      </c>
      <c r="AX64" s="84">
        <v>20726</v>
      </c>
      <c r="AY64" s="84">
        <v>50779</v>
      </c>
      <c r="AZ64" s="84">
        <v>763</v>
      </c>
      <c r="BA64" s="84">
        <v>2224</v>
      </c>
      <c r="BB64" s="84"/>
      <c r="BC64" s="84"/>
      <c r="BD64" s="84">
        <v>173142</v>
      </c>
      <c r="BE64" s="84">
        <v>542082</v>
      </c>
      <c r="BF64" s="84">
        <v>1032005</v>
      </c>
      <c r="BG64" s="84">
        <v>3129962</v>
      </c>
      <c r="BH64" s="84">
        <v>194331</v>
      </c>
      <c r="BI64" s="84">
        <v>449975</v>
      </c>
      <c r="BJ64" s="84">
        <v>169800</v>
      </c>
      <c r="BK64" s="84">
        <v>691325</v>
      </c>
      <c r="BL64" s="84">
        <v>4596</v>
      </c>
      <c r="BM64" s="84">
        <v>13008</v>
      </c>
      <c r="BN64" s="73">
        <f t="shared" si="12"/>
        <v>2011756.9653700029</v>
      </c>
      <c r="BO64" s="73">
        <f t="shared" si="13"/>
        <v>6223276.4139</v>
      </c>
    </row>
    <row r="66" spans="1:67" x14ac:dyDescent="0.25">
      <c r="A66" s="24" t="s">
        <v>223</v>
      </c>
    </row>
    <row r="67" spans="1:67" x14ac:dyDescent="0.25">
      <c r="A67" s="1" t="s">
        <v>0</v>
      </c>
      <c r="B67" s="103" t="s">
        <v>1</v>
      </c>
      <c r="C67" s="104"/>
      <c r="D67" s="103" t="s">
        <v>282</v>
      </c>
      <c r="E67" s="104"/>
      <c r="F67" s="103" t="s">
        <v>2</v>
      </c>
      <c r="G67" s="104"/>
      <c r="H67" s="103" t="s">
        <v>3</v>
      </c>
      <c r="I67" s="104"/>
      <c r="J67" s="103" t="s">
        <v>4</v>
      </c>
      <c r="K67" s="104"/>
      <c r="L67" s="103" t="s">
        <v>283</v>
      </c>
      <c r="M67" s="104"/>
      <c r="N67" s="103" t="s">
        <v>6</v>
      </c>
      <c r="O67" s="104"/>
      <c r="P67" s="103" t="s">
        <v>5</v>
      </c>
      <c r="Q67" s="104"/>
      <c r="R67" s="103" t="s">
        <v>7</v>
      </c>
      <c r="S67" s="104"/>
      <c r="T67" s="103" t="s">
        <v>284</v>
      </c>
      <c r="U67" s="104"/>
      <c r="V67" s="103" t="s">
        <v>8</v>
      </c>
      <c r="W67" s="104"/>
      <c r="X67" s="103" t="s">
        <v>9</v>
      </c>
      <c r="Y67" s="104"/>
      <c r="Z67" s="103" t="s">
        <v>10</v>
      </c>
      <c r="AA67" s="104"/>
      <c r="AB67" s="103" t="s">
        <v>304</v>
      </c>
      <c r="AC67" s="104"/>
      <c r="AD67" s="103" t="s">
        <v>11</v>
      </c>
      <c r="AE67" s="104"/>
      <c r="AF67" s="103" t="s">
        <v>12</v>
      </c>
      <c r="AG67" s="104"/>
      <c r="AH67" s="103" t="s">
        <v>285</v>
      </c>
      <c r="AI67" s="104"/>
      <c r="AJ67" s="103" t="s">
        <v>290</v>
      </c>
      <c r="AK67" s="104"/>
      <c r="AL67" s="103" t="s">
        <v>13</v>
      </c>
      <c r="AM67" s="104"/>
      <c r="AN67" s="103" t="s">
        <v>286</v>
      </c>
      <c r="AO67" s="104"/>
      <c r="AP67" s="103" t="s">
        <v>287</v>
      </c>
      <c r="AQ67" s="104"/>
      <c r="AR67" s="103" t="s">
        <v>291</v>
      </c>
      <c r="AS67" s="104"/>
      <c r="AT67" s="103" t="s">
        <v>305</v>
      </c>
      <c r="AU67" s="104"/>
      <c r="AV67" s="103" t="s">
        <v>14</v>
      </c>
      <c r="AW67" s="104"/>
      <c r="AX67" s="103" t="s">
        <v>15</v>
      </c>
      <c r="AY67" s="104"/>
      <c r="AZ67" s="103" t="s">
        <v>16</v>
      </c>
      <c r="BA67" s="104"/>
      <c r="BB67" s="103" t="s">
        <v>17</v>
      </c>
      <c r="BC67" s="104"/>
      <c r="BD67" s="103" t="s">
        <v>18</v>
      </c>
      <c r="BE67" s="104"/>
      <c r="BF67" s="103" t="s">
        <v>288</v>
      </c>
      <c r="BG67" s="104"/>
      <c r="BH67" s="103" t="s">
        <v>289</v>
      </c>
      <c r="BI67" s="104"/>
      <c r="BJ67" s="103" t="s">
        <v>19</v>
      </c>
      <c r="BK67" s="104"/>
      <c r="BL67" s="103" t="s">
        <v>20</v>
      </c>
      <c r="BM67" s="104"/>
      <c r="BN67" s="105" t="s">
        <v>21</v>
      </c>
      <c r="BO67" s="106"/>
    </row>
    <row r="68" spans="1:67" ht="30" x14ac:dyDescent="0.25">
      <c r="A68" s="1"/>
      <c r="B68" s="57" t="s">
        <v>293</v>
      </c>
      <c r="C68" s="58" t="s">
        <v>294</v>
      </c>
      <c r="D68" s="57" t="s">
        <v>293</v>
      </c>
      <c r="E68" s="58" t="s">
        <v>294</v>
      </c>
      <c r="F68" s="57" t="s">
        <v>293</v>
      </c>
      <c r="G68" s="58" t="s">
        <v>294</v>
      </c>
      <c r="H68" s="57" t="s">
        <v>293</v>
      </c>
      <c r="I68" s="58" t="s">
        <v>294</v>
      </c>
      <c r="J68" s="57" t="s">
        <v>293</v>
      </c>
      <c r="K68" s="58" t="s">
        <v>294</v>
      </c>
      <c r="L68" s="57" t="s">
        <v>293</v>
      </c>
      <c r="M68" s="58" t="s">
        <v>294</v>
      </c>
      <c r="N68" s="57" t="s">
        <v>293</v>
      </c>
      <c r="O68" s="58" t="s">
        <v>294</v>
      </c>
      <c r="P68" s="57" t="s">
        <v>293</v>
      </c>
      <c r="Q68" s="58" t="s">
        <v>294</v>
      </c>
      <c r="R68" s="57" t="s">
        <v>293</v>
      </c>
      <c r="S68" s="58" t="s">
        <v>294</v>
      </c>
      <c r="T68" s="57" t="s">
        <v>293</v>
      </c>
      <c r="U68" s="58" t="s">
        <v>294</v>
      </c>
      <c r="V68" s="57" t="s">
        <v>293</v>
      </c>
      <c r="W68" s="58" t="s">
        <v>294</v>
      </c>
      <c r="X68" s="57" t="s">
        <v>293</v>
      </c>
      <c r="Y68" s="58" t="s">
        <v>294</v>
      </c>
      <c r="Z68" s="57" t="s">
        <v>293</v>
      </c>
      <c r="AA68" s="58" t="s">
        <v>294</v>
      </c>
      <c r="AB68" s="57" t="s">
        <v>293</v>
      </c>
      <c r="AC68" s="58" t="s">
        <v>294</v>
      </c>
      <c r="AD68" s="57" t="s">
        <v>293</v>
      </c>
      <c r="AE68" s="58" t="s">
        <v>294</v>
      </c>
      <c r="AF68" s="57" t="s">
        <v>293</v>
      </c>
      <c r="AG68" s="58" t="s">
        <v>294</v>
      </c>
      <c r="AH68" s="57" t="s">
        <v>293</v>
      </c>
      <c r="AI68" s="58" t="s">
        <v>294</v>
      </c>
      <c r="AJ68" s="57" t="s">
        <v>293</v>
      </c>
      <c r="AK68" s="58" t="s">
        <v>294</v>
      </c>
      <c r="AL68" s="57" t="s">
        <v>293</v>
      </c>
      <c r="AM68" s="58" t="s">
        <v>294</v>
      </c>
      <c r="AN68" s="57" t="s">
        <v>293</v>
      </c>
      <c r="AO68" s="58" t="s">
        <v>294</v>
      </c>
      <c r="AP68" s="57" t="s">
        <v>293</v>
      </c>
      <c r="AQ68" s="58" t="s">
        <v>294</v>
      </c>
      <c r="AR68" s="57" t="s">
        <v>293</v>
      </c>
      <c r="AS68" s="58" t="s">
        <v>294</v>
      </c>
      <c r="AT68" s="57" t="s">
        <v>293</v>
      </c>
      <c r="AU68" s="58" t="s">
        <v>294</v>
      </c>
      <c r="AV68" s="57" t="s">
        <v>293</v>
      </c>
      <c r="AW68" s="58" t="s">
        <v>294</v>
      </c>
      <c r="AX68" s="57" t="s">
        <v>293</v>
      </c>
      <c r="AY68" s="58" t="s">
        <v>294</v>
      </c>
      <c r="AZ68" s="57" t="s">
        <v>293</v>
      </c>
      <c r="BA68" s="58" t="s">
        <v>294</v>
      </c>
      <c r="BB68" s="57" t="s">
        <v>293</v>
      </c>
      <c r="BC68" s="58" t="s">
        <v>294</v>
      </c>
      <c r="BD68" s="57" t="s">
        <v>293</v>
      </c>
      <c r="BE68" s="58" t="s">
        <v>294</v>
      </c>
      <c r="BF68" s="57" t="s">
        <v>293</v>
      </c>
      <c r="BG68" s="58" t="s">
        <v>294</v>
      </c>
      <c r="BH68" s="57" t="s">
        <v>293</v>
      </c>
      <c r="BI68" s="58" t="s">
        <v>294</v>
      </c>
      <c r="BJ68" s="57" t="s">
        <v>293</v>
      </c>
      <c r="BK68" s="58" t="s">
        <v>294</v>
      </c>
      <c r="BL68" s="57" t="s">
        <v>293</v>
      </c>
      <c r="BM68" s="58" t="s">
        <v>294</v>
      </c>
      <c r="BN68" s="57" t="s">
        <v>293</v>
      </c>
      <c r="BO68" s="58" t="s">
        <v>294</v>
      </c>
    </row>
    <row r="69" spans="1:67" x14ac:dyDescent="0.25">
      <c r="A69" s="84" t="s">
        <v>271</v>
      </c>
      <c r="B69" s="84"/>
      <c r="C69" s="84"/>
      <c r="D69" s="84"/>
      <c r="E69" s="84"/>
      <c r="F69" s="84"/>
      <c r="G69" s="84"/>
      <c r="H69" s="84">
        <v>48482</v>
      </c>
      <c r="I69" s="84">
        <v>142373</v>
      </c>
      <c r="J69" s="84"/>
      <c r="K69" s="84"/>
      <c r="L69" s="84"/>
      <c r="M69" s="84"/>
      <c r="N69" s="84"/>
      <c r="O69" s="84"/>
      <c r="P69" s="84"/>
      <c r="Q69" s="84"/>
      <c r="R69" s="84"/>
      <c r="S69" s="84">
        <v>1126</v>
      </c>
      <c r="T69" s="84"/>
      <c r="U69" s="84"/>
      <c r="V69" s="84">
        <v>47625</v>
      </c>
      <c r="W69" s="84">
        <v>93830</v>
      </c>
      <c r="X69" s="84">
        <v>235592</v>
      </c>
      <c r="Y69" s="84">
        <v>774433</v>
      </c>
      <c r="Z69" s="84"/>
      <c r="AA69" s="84">
        <v>855</v>
      </c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>
        <v>262777.22743887192</v>
      </c>
      <c r="AM69" s="84">
        <v>597919.73251112795</v>
      </c>
      <c r="AN69" s="84"/>
      <c r="AO69" s="84"/>
      <c r="AP69" s="84"/>
      <c r="AQ69" s="84"/>
      <c r="AR69" s="84">
        <v>72847</v>
      </c>
      <c r="AS69" s="84">
        <v>273492</v>
      </c>
      <c r="AT69" s="84"/>
      <c r="AU69" s="84"/>
      <c r="AV69" s="84"/>
      <c r="AW69" s="84"/>
      <c r="AX69" s="84">
        <v>250</v>
      </c>
      <c r="AY69" s="84">
        <v>834</v>
      </c>
      <c r="AZ69" s="84"/>
      <c r="BA69" s="84"/>
      <c r="BB69" s="84"/>
      <c r="BC69" s="84"/>
      <c r="BD69" s="84"/>
      <c r="BE69" s="84"/>
      <c r="BF69" s="84">
        <v>720582</v>
      </c>
      <c r="BG69" s="84">
        <v>1785665</v>
      </c>
      <c r="BH69" s="84">
        <v>226277</v>
      </c>
      <c r="BI69" s="84">
        <v>854048</v>
      </c>
      <c r="BJ69" s="84">
        <v>279747</v>
      </c>
      <c r="BK69" s="84">
        <v>592622</v>
      </c>
      <c r="BL69" s="84"/>
      <c r="BM69" s="84"/>
      <c r="BN69" s="73">
        <f t="shared" ref="BN69:BN73" si="14">SUM(B69+D69+F69+H69+J69+L69+N69+P69+R69+T69+V69+X69+Z69+AB69+AD69+AF69+AH69+AJ69+AL69+AN69+AP69+AR69+AT69+AV69+AX69+AZ69+BB69+BD69+BF69+BH69+BJ69+BL69)</f>
        <v>1894179.227438872</v>
      </c>
      <c r="BO69" s="73">
        <f t="shared" ref="BO69:BO73" si="15">SUM(C69+E69+G69+I69+K69+M69+O69+Q69+S69+U69+W69+Y69+AA69+AC69+AE69+AG69+AI69+AK69+AM69+AO69+AQ69+AS69+AU69+AW69+AY69+BA69+BC69+BE69+BG69+BI69+BK69+BM69)</f>
        <v>5117197.7325111274</v>
      </c>
    </row>
    <row r="70" spans="1:67" x14ac:dyDescent="0.25">
      <c r="A70" s="84" t="s">
        <v>274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>
        <v>-1446</v>
      </c>
      <c r="X70" s="84">
        <v>26864</v>
      </c>
      <c r="Y70" s="84">
        <v>68720</v>
      </c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>
        <v>47777.612239999988</v>
      </c>
      <c r="AM70" s="84">
        <v>314821.36254</v>
      </c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>
        <v>264012</v>
      </c>
      <c r="BG70" s="84">
        <v>991235</v>
      </c>
      <c r="BH70" s="84">
        <v>679440</v>
      </c>
      <c r="BI70" s="84">
        <v>1370086</v>
      </c>
      <c r="BJ70" s="84">
        <v>45837</v>
      </c>
      <c r="BK70" s="84">
        <v>138093</v>
      </c>
      <c r="BL70" s="84"/>
      <c r="BM70" s="84"/>
      <c r="BN70" s="73">
        <f t="shared" si="14"/>
        <v>1063930.6122399999</v>
      </c>
      <c r="BO70" s="73">
        <f t="shared" si="15"/>
        <v>2881509.3625400001</v>
      </c>
    </row>
    <row r="71" spans="1:67" x14ac:dyDescent="0.25">
      <c r="A71" s="84" t="s">
        <v>275</v>
      </c>
      <c r="B71" s="84"/>
      <c r="C71" s="84"/>
      <c r="D71" s="84"/>
      <c r="E71" s="84"/>
      <c r="F71" s="84"/>
      <c r="G71" s="84"/>
      <c r="H71" s="84">
        <v>48499</v>
      </c>
      <c r="I71" s="84">
        <v>140061</v>
      </c>
      <c r="J71" s="84"/>
      <c r="K71" s="84"/>
      <c r="L71" s="84"/>
      <c r="M71" s="84"/>
      <c r="N71" s="84"/>
      <c r="O71" s="84"/>
      <c r="P71" s="84"/>
      <c r="Q71" s="84"/>
      <c r="R71" s="84"/>
      <c r="S71" s="84">
        <v>56</v>
      </c>
      <c r="T71" s="84"/>
      <c r="U71" s="84"/>
      <c r="V71" s="84">
        <v>-47606</v>
      </c>
      <c r="W71" s="84">
        <v>-93740</v>
      </c>
      <c r="X71" s="84">
        <v>231820</v>
      </c>
      <c r="Y71" s="84">
        <v>753795</v>
      </c>
      <c r="Z71" s="84"/>
      <c r="AA71" s="84">
        <v>854</v>
      </c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>
        <v>301542.53489000007</v>
      </c>
      <c r="AM71" s="84">
        <v>677333.48333000008</v>
      </c>
      <c r="AN71" s="84"/>
      <c r="AO71" s="84"/>
      <c r="AP71" s="84"/>
      <c r="AQ71" s="84"/>
      <c r="AR71" s="84">
        <v>70565</v>
      </c>
      <c r="AS71" s="84">
        <v>222336</v>
      </c>
      <c r="AT71" s="84"/>
      <c r="AU71" s="84"/>
      <c r="AV71" s="84"/>
      <c r="AW71" s="84"/>
      <c r="AX71" s="84">
        <v>248</v>
      </c>
      <c r="AY71" s="84">
        <v>828</v>
      </c>
      <c r="AZ71" s="84"/>
      <c r="BA71" s="84"/>
      <c r="BB71" s="84"/>
      <c r="BC71" s="84"/>
      <c r="BD71" s="84"/>
      <c r="BE71" s="84"/>
      <c r="BF71" s="84">
        <v>690494</v>
      </c>
      <c r="BG71" s="84">
        <v>1836222</v>
      </c>
      <c r="BH71" s="84">
        <v>269008</v>
      </c>
      <c r="BI71" s="84">
        <v>887349</v>
      </c>
      <c r="BJ71" s="84">
        <v>286506</v>
      </c>
      <c r="BK71" s="84">
        <v>645293</v>
      </c>
      <c r="BL71" s="84"/>
      <c r="BM71" s="84"/>
      <c r="BN71" s="73">
        <f t="shared" si="14"/>
        <v>1851076.53489</v>
      </c>
      <c r="BO71" s="73">
        <f t="shared" si="15"/>
        <v>5070387.4833300002</v>
      </c>
    </row>
    <row r="72" spans="1:67" x14ac:dyDescent="0.25">
      <c r="A72" s="84" t="s">
        <v>229</v>
      </c>
      <c r="B72" s="84"/>
      <c r="C72" s="84"/>
      <c r="D72" s="84"/>
      <c r="E72" s="84"/>
      <c r="F72" s="84"/>
      <c r="G72" s="84"/>
      <c r="H72" s="84">
        <v>-17</v>
      </c>
      <c r="I72" s="84">
        <v>2312</v>
      </c>
      <c r="J72" s="84"/>
      <c r="K72" s="84"/>
      <c r="L72" s="84"/>
      <c r="M72" s="84"/>
      <c r="N72" s="84"/>
      <c r="O72" s="84"/>
      <c r="P72" s="84"/>
      <c r="Q72" s="84"/>
      <c r="R72" s="84"/>
      <c r="S72" s="84">
        <v>1070</v>
      </c>
      <c r="T72" s="84"/>
      <c r="U72" s="84"/>
      <c r="V72" s="84">
        <v>19</v>
      </c>
      <c r="W72" s="84">
        <v>-1356</v>
      </c>
      <c r="X72" s="84">
        <v>30636</v>
      </c>
      <c r="Y72" s="84">
        <v>89358</v>
      </c>
      <c r="Z72" s="84"/>
      <c r="AA72" s="84">
        <v>1</v>
      </c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>
        <v>9012.3047888718429</v>
      </c>
      <c r="AM72" s="84">
        <v>235407.61172112788</v>
      </c>
      <c r="AN72" s="84"/>
      <c r="AO72" s="84"/>
      <c r="AP72" s="84"/>
      <c r="AQ72" s="84"/>
      <c r="AR72" s="84">
        <v>2282</v>
      </c>
      <c r="AS72" s="84">
        <v>51156</v>
      </c>
      <c r="AT72" s="84"/>
      <c r="AU72" s="84"/>
      <c r="AV72" s="84"/>
      <c r="AW72" s="84"/>
      <c r="AX72" s="84">
        <v>2</v>
      </c>
      <c r="AY72" s="84">
        <v>6</v>
      </c>
      <c r="AZ72" s="84"/>
      <c r="BA72" s="84"/>
      <c r="BB72" s="84"/>
      <c r="BC72" s="84"/>
      <c r="BD72" s="84"/>
      <c r="BE72" s="84"/>
      <c r="BF72" s="84">
        <v>294099</v>
      </c>
      <c r="BG72" s="84">
        <v>940678</v>
      </c>
      <c r="BH72" s="84">
        <v>636709</v>
      </c>
      <c r="BI72" s="84">
        <v>1336785</v>
      </c>
      <c r="BJ72" s="84">
        <v>39078</v>
      </c>
      <c r="BK72" s="84">
        <v>85422</v>
      </c>
      <c r="BL72" s="84"/>
      <c r="BM72" s="84"/>
      <c r="BN72" s="73">
        <f t="shared" si="14"/>
        <v>1011820.3047888719</v>
      </c>
      <c r="BO72" s="73">
        <f t="shared" si="15"/>
        <v>2740839.6117211278</v>
      </c>
    </row>
    <row r="73" spans="1:67" x14ac:dyDescent="0.25">
      <c r="A73" s="84" t="s">
        <v>230</v>
      </c>
      <c r="B73" s="84"/>
      <c r="C73" s="84"/>
      <c r="D73" s="84"/>
      <c r="E73" s="84"/>
      <c r="F73" s="84"/>
      <c r="G73" s="84"/>
      <c r="H73" s="84">
        <v>26909</v>
      </c>
      <c r="I73" s="84">
        <v>80812</v>
      </c>
      <c r="J73" s="84"/>
      <c r="K73" s="84"/>
      <c r="L73" s="84"/>
      <c r="M73" s="84"/>
      <c r="N73" s="84"/>
      <c r="O73" s="84"/>
      <c r="P73" s="84"/>
      <c r="Q73" s="84"/>
      <c r="R73" s="84">
        <v>5853</v>
      </c>
      <c r="S73" s="84">
        <v>17730</v>
      </c>
      <c r="T73" s="84"/>
      <c r="U73" s="84"/>
      <c r="V73" s="84">
        <v>27</v>
      </c>
      <c r="W73" s="84">
        <v>-1327</v>
      </c>
      <c r="X73" s="84">
        <v>41291</v>
      </c>
      <c r="Y73" s="84">
        <v>138405</v>
      </c>
      <c r="Z73" s="84">
        <v>33</v>
      </c>
      <c r="AA73" s="84">
        <v>157</v>
      </c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>
        <v>34999.699788871832</v>
      </c>
      <c r="AM73" s="84">
        <v>351862.17472112784</v>
      </c>
      <c r="AN73" s="84"/>
      <c r="AO73" s="84"/>
      <c r="AP73" s="84"/>
      <c r="AQ73" s="84"/>
      <c r="AR73" s="84">
        <v>14544</v>
      </c>
      <c r="AS73" s="84">
        <v>51188</v>
      </c>
      <c r="AT73" s="84"/>
      <c r="AU73" s="84"/>
      <c r="AV73" s="84"/>
      <c r="AW73" s="84"/>
      <c r="AX73" s="84">
        <v>2</v>
      </c>
      <c r="AY73" s="84">
        <v>7</v>
      </c>
      <c r="AZ73" s="84"/>
      <c r="BA73" s="84"/>
      <c r="BB73" s="84"/>
      <c r="BC73" s="84"/>
      <c r="BD73" s="84"/>
      <c r="BE73" s="84"/>
      <c r="BF73" s="84">
        <v>472763</v>
      </c>
      <c r="BG73" s="84">
        <v>1230472</v>
      </c>
      <c r="BH73" s="84">
        <v>503785</v>
      </c>
      <c r="BI73" s="84">
        <v>975764</v>
      </c>
      <c r="BJ73" s="84">
        <v>36228</v>
      </c>
      <c r="BK73" s="84">
        <v>182834</v>
      </c>
      <c r="BL73" s="84"/>
      <c r="BM73" s="84"/>
      <c r="BN73" s="73">
        <f t="shared" si="14"/>
        <v>1136434.6997888717</v>
      </c>
      <c r="BO73" s="73">
        <f t="shared" si="15"/>
        <v>3027904.1747211278</v>
      </c>
    </row>
    <row r="75" spans="1:67" x14ac:dyDescent="0.25">
      <c r="A75" s="24" t="s">
        <v>224</v>
      </c>
    </row>
    <row r="76" spans="1:67" x14ac:dyDescent="0.25">
      <c r="A76" s="1" t="s">
        <v>0</v>
      </c>
      <c r="B76" s="103" t="s">
        <v>1</v>
      </c>
      <c r="C76" s="104"/>
      <c r="D76" s="103" t="s">
        <v>282</v>
      </c>
      <c r="E76" s="104"/>
      <c r="F76" s="103" t="s">
        <v>2</v>
      </c>
      <c r="G76" s="104"/>
      <c r="H76" s="103" t="s">
        <v>3</v>
      </c>
      <c r="I76" s="104"/>
      <c r="J76" s="103" t="s">
        <v>4</v>
      </c>
      <c r="K76" s="104"/>
      <c r="L76" s="103" t="s">
        <v>283</v>
      </c>
      <c r="M76" s="104"/>
      <c r="N76" s="103" t="s">
        <v>6</v>
      </c>
      <c r="O76" s="104"/>
      <c r="P76" s="103" t="s">
        <v>5</v>
      </c>
      <c r="Q76" s="104"/>
      <c r="R76" s="103" t="s">
        <v>7</v>
      </c>
      <c r="S76" s="104"/>
      <c r="T76" s="103" t="s">
        <v>284</v>
      </c>
      <c r="U76" s="104"/>
      <c r="V76" s="103" t="s">
        <v>8</v>
      </c>
      <c r="W76" s="104"/>
      <c r="X76" s="103" t="s">
        <v>9</v>
      </c>
      <c r="Y76" s="104"/>
      <c r="Z76" s="103" t="s">
        <v>10</v>
      </c>
      <c r="AA76" s="104"/>
      <c r="AB76" s="103" t="s">
        <v>304</v>
      </c>
      <c r="AC76" s="104"/>
      <c r="AD76" s="103" t="s">
        <v>11</v>
      </c>
      <c r="AE76" s="104"/>
      <c r="AF76" s="103" t="s">
        <v>12</v>
      </c>
      <c r="AG76" s="104"/>
      <c r="AH76" s="103" t="s">
        <v>285</v>
      </c>
      <c r="AI76" s="104"/>
      <c r="AJ76" s="103" t="s">
        <v>290</v>
      </c>
      <c r="AK76" s="104"/>
      <c r="AL76" s="103" t="s">
        <v>13</v>
      </c>
      <c r="AM76" s="104"/>
      <c r="AN76" s="103" t="s">
        <v>286</v>
      </c>
      <c r="AO76" s="104"/>
      <c r="AP76" s="103" t="s">
        <v>287</v>
      </c>
      <c r="AQ76" s="104"/>
      <c r="AR76" s="103" t="s">
        <v>291</v>
      </c>
      <c r="AS76" s="104"/>
      <c r="AT76" s="103" t="s">
        <v>305</v>
      </c>
      <c r="AU76" s="104"/>
      <c r="AV76" s="103" t="s">
        <v>14</v>
      </c>
      <c r="AW76" s="104"/>
      <c r="AX76" s="103" t="s">
        <v>15</v>
      </c>
      <c r="AY76" s="104"/>
      <c r="AZ76" s="103" t="s">
        <v>16</v>
      </c>
      <c r="BA76" s="104"/>
      <c r="BB76" s="103" t="s">
        <v>17</v>
      </c>
      <c r="BC76" s="104"/>
      <c r="BD76" s="103" t="s">
        <v>18</v>
      </c>
      <c r="BE76" s="104"/>
      <c r="BF76" s="103" t="s">
        <v>288</v>
      </c>
      <c r="BG76" s="104"/>
      <c r="BH76" s="103" t="s">
        <v>289</v>
      </c>
      <c r="BI76" s="104"/>
      <c r="BJ76" s="103" t="s">
        <v>19</v>
      </c>
      <c r="BK76" s="104"/>
      <c r="BL76" s="103" t="s">
        <v>20</v>
      </c>
      <c r="BM76" s="104"/>
      <c r="BN76" s="105" t="s">
        <v>21</v>
      </c>
      <c r="BO76" s="106"/>
    </row>
    <row r="77" spans="1:67" ht="30" x14ac:dyDescent="0.25">
      <c r="A77" s="1"/>
      <c r="B77" s="57" t="s">
        <v>293</v>
      </c>
      <c r="C77" s="58" t="s">
        <v>294</v>
      </c>
      <c r="D77" s="57" t="s">
        <v>293</v>
      </c>
      <c r="E77" s="58" t="s">
        <v>294</v>
      </c>
      <c r="F77" s="57" t="s">
        <v>293</v>
      </c>
      <c r="G77" s="58" t="s">
        <v>294</v>
      </c>
      <c r="H77" s="57" t="s">
        <v>293</v>
      </c>
      <c r="I77" s="58" t="s">
        <v>294</v>
      </c>
      <c r="J77" s="57" t="s">
        <v>293</v>
      </c>
      <c r="K77" s="58" t="s">
        <v>294</v>
      </c>
      <c r="L77" s="57" t="s">
        <v>293</v>
      </c>
      <c r="M77" s="58" t="s">
        <v>294</v>
      </c>
      <c r="N77" s="57" t="s">
        <v>293</v>
      </c>
      <c r="O77" s="58" t="s">
        <v>294</v>
      </c>
      <c r="P77" s="57" t="s">
        <v>293</v>
      </c>
      <c r="Q77" s="58" t="s">
        <v>294</v>
      </c>
      <c r="R77" s="57" t="s">
        <v>293</v>
      </c>
      <c r="S77" s="58" t="s">
        <v>294</v>
      </c>
      <c r="T77" s="57" t="s">
        <v>293</v>
      </c>
      <c r="U77" s="58" t="s">
        <v>294</v>
      </c>
      <c r="V77" s="57" t="s">
        <v>293</v>
      </c>
      <c r="W77" s="58" t="s">
        <v>294</v>
      </c>
      <c r="X77" s="57" t="s">
        <v>293</v>
      </c>
      <c r="Y77" s="58" t="s">
        <v>294</v>
      </c>
      <c r="Z77" s="57" t="s">
        <v>293</v>
      </c>
      <c r="AA77" s="58" t="s">
        <v>294</v>
      </c>
      <c r="AB77" s="57" t="s">
        <v>293</v>
      </c>
      <c r="AC77" s="58" t="s">
        <v>294</v>
      </c>
      <c r="AD77" s="57" t="s">
        <v>293</v>
      </c>
      <c r="AE77" s="58" t="s">
        <v>294</v>
      </c>
      <c r="AF77" s="57" t="s">
        <v>293</v>
      </c>
      <c r="AG77" s="58" t="s">
        <v>294</v>
      </c>
      <c r="AH77" s="57" t="s">
        <v>293</v>
      </c>
      <c r="AI77" s="58" t="s">
        <v>294</v>
      </c>
      <c r="AJ77" s="57" t="s">
        <v>293</v>
      </c>
      <c r="AK77" s="58" t="s">
        <v>294</v>
      </c>
      <c r="AL77" s="57" t="s">
        <v>293</v>
      </c>
      <c r="AM77" s="58" t="s">
        <v>294</v>
      </c>
      <c r="AN77" s="57" t="s">
        <v>293</v>
      </c>
      <c r="AO77" s="58" t="s">
        <v>294</v>
      </c>
      <c r="AP77" s="57" t="s">
        <v>293</v>
      </c>
      <c r="AQ77" s="58" t="s">
        <v>294</v>
      </c>
      <c r="AR77" s="57" t="s">
        <v>293</v>
      </c>
      <c r="AS77" s="58" t="s">
        <v>294</v>
      </c>
      <c r="AT77" s="57" t="s">
        <v>293</v>
      </c>
      <c r="AU77" s="58" t="s">
        <v>294</v>
      </c>
      <c r="AV77" s="57" t="s">
        <v>293</v>
      </c>
      <c r="AW77" s="58" t="s">
        <v>294</v>
      </c>
      <c r="AX77" s="57" t="s">
        <v>293</v>
      </c>
      <c r="AY77" s="58" t="s">
        <v>294</v>
      </c>
      <c r="AZ77" s="57" t="s">
        <v>293</v>
      </c>
      <c r="BA77" s="58" t="s">
        <v>294</v>
      </c>
      <c r="BB77" s="57" t="s">
        <v>293</v>
      </c>
      <c r="BC77" s="58" t="s">
        <v>294</v>
      </c>
      <c r="BD77" s="57" t="s">
        <v>293</v>
      </c>
      <c r="BE77" s="58" t="s">
        <v>294</v>
      </c>
      <c r="BF77" s="57" t="s">
        <v>293</v>
      </c>
      <c r="BG77" s="58" t="s">
        <v>294</v>
      </c>
      <c r="BH77" s="57" t="s">
        <v>293</v>
      </c>
      <c r="BI77" s="58" t="s">
        <v>294</v>
      </c>
      <c r="BJ77" s="57" t="s">
        <v>293</v>
      </c>
      <c r="BK77" s="58" t="s">
        <v>294</v>
      </c>
      <c r="BL77" s="57" t="s">
        <v>293</v>
      </c>
      <c r="BM77" s="58" t="s">
        <v>294</v>
      </c>
      <c r="BN77" s="57" t="s">
        <v>293</v>
      </c>
      <c r="BO77" s="58" t="s">
        <v>294</v>
      </c>
    </row>
    <row r="78" spans="1:67" x14ac:dyDescent="0.25">
      <c r="A78" s="84" t="s">
        <v>271</v>
      </c>
      <c r="B78" s="84">
        <f t="shared" ref="B78:AG78" si="16">B87-B69-B60-B51-B42-B33-B24-B15-B6</f>
        <v>0</v>
      </c>
      <c r="C78" s="84">
        <f t="shared" si="16"/>
        <v>0</v>
      </c>
      <c r="D78" s="84">
        <f t="shared" si="16"/>
        <v>0</v>
      </c>
      <c r="E78" s="84">
        <f t="shared" si="16"/>
        <v>0</v>
      </c>
      <c r="F78" s="84">
        <f t="shared" si="16"/>
        <v>17424845</v>
      </c>
      <c r="G78" s="84">
        <f t="shared" si="16"/>
        <v>89620285</v>
      </c>
      <c r="H78" s="84">
        <f t="shared" si="16"/>
        <v>8717854</v>
      </c>
      <c r="I78" s="84">
        <f t="shared" si="16"/>
        <v>31164842</v>
      </c>
      <c r="J78" s="84">
        <f t="shared" si="16"/>
        <v>1894654</v>
      </c>
      <c r="K78" s="84">
        <f t="shared" si="16"/>
        <v>7622515</v>
      </c>
      <c r="L78" s="84">
        <f t="shared" si="16"/>
        <v>93987</v>
      </c>
      <c r="M78" s="84">
        <f t="shared" si="16"/>
        <v>254241</v>
      </c>
      <c r="N78" s="84">
        <f t="shared" si="16"/>
        <v>2643998.48</v>
      </c>
      <c r="O78" s="84">
        <f t="shared" si="16"/>
        <v>7164353.8300000001</v>
      </c>
      <c r="P78" s="84">
        <f t="shared" si="16"/>
        <v>29</v>
      </c>
      <c r="Q78" s="84">
        <f t="shared" si="16"/>
        <v>2130</v>
      </c>
      <c r="R78" s="84">
        <f t="shared" si="16"/>
        <v>4899974</v>
      </c>
      <c r="S78" s="84">
        <f t="shared" si="16"/>
        <v>10417348</v>
      </c>
      <c r="T78" s="84">
        <f t="shared" si="16"/>
        <v>166383</v>
      </c>
      <c r="U78" s="84">
        <f t="shared" ref="U78" si="17">U87-U69-U60-U51-U42-U33-U24-U15-U6</f>
        <v>571813</v>
      </c>
      <c r="V78" s="84">
        <f t="shared" si="16"/>
        <v>4087312</v>
      </c>
      <c r="W78" s="84">
        <f t="shared" si="16"/>
        <v>23078102</v>
      </c>
      <c r="X78" s="84">
        <f t="shared" si="16"/>
        <v>1992989</v>
      </c>
      <c r="Y78" s="84">
        <f t="shared" si="16"/>
        <v>5925737</v>
      </c>
      <c r="Z78" s="84">
        <f t="shared" si="16"/>
        <v>6490659</v>
      </c>
      <c r="AA78" s="84">
        <f t="shared" si="16"/>
        <v>16648338</v>
      </c>
      <c r="AB78" s="84">
        <f t="shared" si="16"/>
        <v>46697</v>
      </c>
      <c r="AC78" s="84">
        <f t="shared" si="16"/>
        <v>97905</v>
      </c>
      <c r="AD78" s="84">
        <f t="shared" si="16"/>
        <v>160441</v>
      </c>
      <c r="AE78" s="84">
        <f t="shared" si="16"/>
        <v>557643</v>
      </c>
      <c r="AF78" s="84">
        <f t="shared" si="16"/>
        <v>102033</v>
      </c>
      <c r="AG78" s="84">
        <f t="shared" si="16"/>
        <v>279504</v>
      </c>
      <c r="AH78" s="84">
        <f t="shared" ref="AH78" si="18">AH87-AH69-AH60-AH51-AH42-AH33-AH24-AH15-AH6</f>
        <v>0</v>
      </c>
      <c r="AI78" s="84">
        <f t="shared" ref="AI78:BM78" si="19">AI87-AI69-AI60-AI51-AI42-AI33-AI24-AI15-AI6</f>
        <v>0</v>
      </c>
      <c r="AJ78" s="84">
        <f t="shared" si="19"/>
        <v>0</v>
      </c>
      <c r="AK78" s="84">
        <f t="shared" si="19"/>
        <v>0</v>
      </c>
      <c r="AL78" s="84">
        <f t="shared" si="19"/>
        <v>2216688.0035269968</v>
      </c>
      <c r="AM78" s="84">
        <f t="shared" si="19"/>
        <v>10349563.539887575</v>
      </c>
      <c r="AN78" s="84">
        <f t="shared" si="19"/>
        <v>29150</v>
      </c>
      <c r="AO78" s="84">
        <f t="shared" si="19"/>
        <v>48181</v>
      </c>
      <c r="AP78" s="84">
        <f t="shared" si="19"/>
        <v>128493</v>
      </c>
      <c r="AQ78" s="84">
        <f t="shared" si="19"/>
        <v>414851</v>
      </c>
      <c r="AR78" s="84">
        <f t="shared" si="19"/>
        <v>4422987</v>
      </c>
      <c r="AS78" s="84">
        <f t="shared" si="19"/>
        <v>20838090</v>
      </c>
      <c r="AT78" s="84">
        <f t="shared" si="19"/>
        <v>0</v>
      </c>
      <c r="AU78" s="84">
        <f t="shared" si="19"/>
        <v>0</v>
      </c>
      <c r="AV78" s="84">
        <f t="shared" si="19"/>
        <v>558782</v>
      </c>
      <c r="AW78" s="84">
        <f t="shared" si="19"/>
        <v>653995</v>
      </c>
      <c r="AX78" s="84">
        <f t="shared" si="19"/>
        <v>2296245</v>
      </c>
      <c r="AY78" s="84">
        <f t="shared" si="19"/>
        <v>16626825</v>
      </c>
      <c r="AZ78" s="84">
        <f t="shared" si="19"/>
        <v>43388</v>
      </c>
      <c r="BA78" s="84">
        <f t="shared" si="19"/>
        <v>115561</v>
      </c>
      <c r="BB78" s="84">
        <f t="shared" si="19"/>
        <v>21707740</v>
      </c>
      <c r="BC78" s="84">
        <f t="shared" si="19"/>
        <v>61267202</v>
      </c>
      <c r="BD78" s="84">
        <f t="shared" si="19"/>
        <v>478095</v>
      </c>
      <c r="BE78" s="84">
        <f t="shared" si="19"/>
        <v>1764780</v>
      </c>
      <c r="BF78" s="84">
        <f t="shared" si="19"/>
        <v>3134146</v>
      </c>
      <c r="BG78" s="84">
        <f t="shared" si="19"/>
        <v>16517656</v>
      </c>
      <c r="BH78" s="84">
        <f t="shared" si="19"/>
        <v>2380622</v>
      </c>
      <c r="BI78" s="84">
        <f t="shared" si="19"/>
        <v>9374088</v>
      </c>
      <c r="BJ78" s="84">
        <f t="shared" si="19"/>
        <v>6078276</v>
      </c>
      <c r="BK78" s="84">
        <f t="shared" si="19"/>
        <v>10399024</v>
      </c>
      <c r="BL78" s="84">
        <f t="shared" si="19"/>
        <v>4855337</v>
      </c>
      <c r="BM78" s="84">
        <f t="shared" si="19"/>
        <v>11385961</v>
      </c>
      <c r="BN78" s="73">
        <f t="shared" ref="BN78:BN82" si="20">SUM(B78+D78+F78+H78+J78+L78+N78+P78+R78+T78+V78+X78+Z78+AB78+AD78+AF78+AH78+AJ78+AL78+AN78+AP78+AR78+AT78+AV78+AX78+AZ78+BB78+BD78+BF78+BH78+BJ78+BL78)</f>
        <v>97051804.483527005</v>
      </c>
      <c r="BO78" s="73">
        <f t="shared" ref="BO78:BO82" si="21">SUM(C78+E78+G78+I78+K78+M78+O78+Q78+S78+U78+W78+Y78+AA78+AC78+AE78+AG78+AI78+AK78+AM78+AO78+AQ78+AS78+AU78+AW78+AY78+BA78+BC78+BE78+BG78+BI78+BK78+BM78)</f>
        <v>353160534.36988759</v>
      </c>
    </row>
    <row r="79" spans="1:67" x14ac:dyDescent="0.25">
      <c r="A79" s="84" t="s">
        <v>274</v>
      </c>
      <c r="B79" s="84">
        <f t="shared" ref="B79:AG79" si="22">B88-B70-B61-B52-B43-B34-B25-B16-B7</f>
        <v>0</v>
      </c>
      <c r="C79" s="84">
        <f t="shared" si="22"/>
        <v>0</v>
      </c>
      <c r="D79" s="84">
        <f t="shared" si="22"/>
        <v>0</v>
      </c>
      <c r="E79" s="84">
        <f t="shared" si="22"/>
        <v>0</v>
      </c>
      <c r="F79" s="84">
        <f t="shared" si="22"/>
        <v>0</v>
      </c>
      <c r="G79" s="84">
        <f t="shared" si="22"/>
        <v>-89</v>
      </c>
      <c r="H79" s="84">
        <f t="shared" si="22"/>
        <v>-1</v>
      </c>
      <c r="I79" s="84">
        <f t="shared" si="22"/>
        <v>8198</v>
      </c>
      <c r="J79" s="84">
        <f t="shared" si="22"/>
        <v>0</v>
      </c>
      <c r="K79" s="84">
        <f t="shared" si="22"/>
        <v>0</v>
      </c>
      <c r="L79" s="84">
        <f t="shared" si="22"/>
        <v>0</v>
      </c>
      <c r="M79" s="84">
        <f t="shared" si="22"/>
        <v>1854</v>
      </c>
      <c r="N79" s="84">
        <f t="shared" si="22"/>
        <v>0</v>
      </c>
      <c r="O79" s="84">
        <f t="shared" si="22"/>
        <v>0</v>
      </c>
      <c r="P79" s="84">
        <f t="shared" si="22"/>
        <v>12</v>
      </c>
      <c r="Q79" s="84">
        <f t="shared" si="22"/>
        <v>534</v>
      </c>
      <c r="R79" s="84">
        <f t="shared" si="22"/>
        <v>1</v>
      </c>
      <c r="S79" s="84">
        <f t="shared" si="22"/>
        <v>110</v>
      </c>
      <c r="T79" s="84">
        <f t="shared" si="22"/>
        <v>586930</v>
      </c>
      <c r="U79" s="84">
        <f t="shared" ref="U79" si="23">U88-U70-U61-U52-U43-U34-U25-U16-U7</f>
        <v>737243</v>
      </c>
      <c r="V79" s="84">
        <f t="shared" si="22"/>
        <v>36598</v>
      </c>
      <c r="W79" s="84">
        <f t="shared" si="22"/>
        <v>171959</v>
      </c>
      <c r="X79" s="84">
        <f t="shared" si="22"/>
        <v>32030</v>
      </c>
      <c r="Y79" s="84">
        <f t="shared" si="22"/>
        <v>150398</v>
      </c>
      <c r="Z79" s="84">
        <f t="shared" si="22"/>
        <v>6776</v>
      </c>
      <c r="AA79" s="84">
        <f t="shared" si="22"/>
        <v>72032</v>
      </c>
      <c r="AB79" s="84">
        <f t="shared" si="22"/>
        <v>0</v>
      </c>
      <c r="AC79" s="84">
        <f t="shared" si="22"/>
        <v>521</v>
      </c>
      <c r="AD79" s="84">
        <f t="shared" si="22"/>
        <v>-1</v>
      </c>
      <c r="AE79" s="84">
        <f t="shared" si="22"/>
        <v>1084</v>
      </c>
      <c r="AF79" s="84">
        <f t="shared" si="22"/>
        <v>0</v>
      </c>
      <c r="AG79" s="84">
        <f t="shared" si="22"/>
        <v>730</v>
      </c>
      <c r="AH79" s="84">
        <f t="shared" ref="AH79" si="24">AH88-AH70-AH61-AH52-AH43-AH34-AH25-AH16-AH7</f>
        <v>0</v>
      </c>
      <c r="AI79" s="84">
        <f t="shared" ref="AI79:BM79" si="25">AI88-AI70-AI61-AI52-AI43-AI34-AI25-AI16-AI7</f>
        <v>0</v>
      </c>
      <c r="AJ79" s="84">
        <f t="shared" si="25"/>
        <v>0</v>
      </c>
      <c r="AK79" s="84">
        <f t="shared" si="25"/>
        <v>0</v>
      </c>
      <c r="AL79" s="84">
        <f t="shared" si="25"/>
        <v>7391.5444760469836</v>
      </c>
      <c r="AM79" s="84">
        <f t="shared" si="25"/>
        <v>66188.304382503033</v>
      </c>
      <c r="AN79" s="84">
        <f t="shared" si="25"/>
        <v>0</v>
      </c>
      <c r="AO79" s="84">
        <f t="shared" si="25"/>
        <v>0</v>
      </c>
      <c r="AP79" s="84">
        <f t="shared" si="25"/>
        <v>25541</v>
      </c>
      <c r="AQ79" s="84">
        <f t="shared" si="25"/>
        <v>78548</v>
      </c>
      <c r="AR79" s="84">
        <f t="shared" si="25"/>
        <v>1</v>
      </c>
      <c r="AS79" s="84">
        <f t="shared" si="25"/>
        <v>1877</v>
      </c>
      <c r="AT79" s="84">
        <f t="shared" si="25"/>
        <v>0</v>
      </c>
      <c r="AU79" s="84">
        <f t="shared" si="25"/>
        <v>0</v>
      </c>
      <c r="AV79" s="84">
        <f t="shared" si="25"/>
        <v>0</v>
      </c>
      <c r="AW79" s="84">
        <f t="shared" si="25"/>
        <v>155</v>
      </c>
      <c r="AX79" s="84">
        <f t="shared" si="25"/>
        <v>0</v>
      </c>
      <c r="AY79" s="84">
        <f t="shared" si="25"/>
        <v>815</v>
      </c>
      <c r="AZ79" s="84">
        <f t="shared" si="25"/>
        <v>0</v>
      </c>
      <c r="BA79" s="84">
        <f t="shared" si="25"/>
        <v>19</v>
      </c>
      <c r="BB79" s="84">
        <f t="shared" si="25"/>
        <v>0</v>
      </c>
      <c r="BC79" s="84">
        <f t="shared" si="25"/>
        <v>0</v>
      </c>
      <c r="BD79" s="84">
        <f t="shared" si="25"/>
        <v>0</v>
      </c>
      <c r="BE79" s="84">
        <f t="shared" si="25"/>
        <v>12759</v>
      </c>
      <c r="BF79" s="84">
        <f t="shared" si="25"/>
        <v>10225</v>
      </c>
      <c r="BG79" s="84">
        <f t="shared" si="25"/>
        <v>22371</v>
      </c>
      <c r="BH79" s="84">
        <f t="shared" si="25"/>
        <v>27644</v>
      </c>
      <c r="BI79" s="84">
        <f t="shared" si="25"/>
        <v>52817</v>
      </c>
      <c r="BJ79" s="84">
        <f t="shared" si="25"/>
        <v>15916</v>
      </c>
      <c r="BK79" s="84">
        <f t="shared" si="25"/>
        <v>36776</v>
      </c>
      <c r="BL79" s="84">
        <f t="shared" si="25"/>
        <v>0</v>
      </c>
      <c r="BM79" s="84">
        <f t="shared" si="25"/>
        <v>0</v>
      </c>
      <c r="BN79" s="73">
        <f t="shared" si="20"/>
        <v>749063.54447604693</v>
      </c>
      <c r="BO79" s="73">
        <f t="shared" si="21"/>
        <v>1416899.304382503</v>
      </c>
    </row>
    <row r="80" spans="1:67" x14ac:dyDescent="0.25">
      <c r="A80" s="84" t="s">
        <v>275</v>
      </c>
      <c r="B80" s="84">
        <f t="shared" ref="B80:AG80" si="26">B89-B71-B62-B53-B44-B35-B26-B17-B8</f>
        <v>0</v>
      </c>
      <c r="C80" s="84">
        <f t="shared" si="26"/>
        <v>0</v>
      </c>
      <c r="D80" s="84">
        <f t="shared" si="26"/>
        <v>0</v>
      </c>
      <c r="E80" s="84">
        <f t="shared" si="26"/>
        <v>0</v>
      </c>
      <c r="F80" s="84">
        <f t="shared" si="26"/>
        <v>7966953</v>
      </c>
      <c r="G80" s="84">
        <f t="shared" si="26"/>
        <v>43744386</v>
      </c>
      <c r="H80" s="84">
        <f t="shared" si="26"/>
        <v>6555462</v>
      </c>
      <c r="I80" s="84">
        <f t="shared" si="26"/>
        <v>24072469</v>
      </c>
      <c r="J80" s="84">
        <f t="shared" si="26"/>
        <v>1505076</v>
      </c>
      <c r="K80" s="84">
        <f t="shared" si="26"/>
        <v>6147959</v>
      </c>
      <c r="L80" s="84">
        <f t="shared" si="26"/>
        <v>31675</v>
      </c>
      <c r="M80" s="84">
        <f t="shared" si="26"/>
        <v>46991</v>
      </c>
      <c r="N80" s="84">
        <f t="shared" si="26"/>
        <v>447629.94</v>
      </c>
      <c r="O80" s="84">
        <f t="shared" si="26"/>
        <v>1461761.35</v>
      </c>
      <c r="P80" s="84">
        <f t="shared" si="26"/>
        <v>41</v>
      </c>
      <c r="Q80" s="84">
        <f t="shared" si="26"/>
        <v>2137</v>
      </c>
      <c r="R80" s="84">
        <f t="shared" si="26"/>
        <v>3589264</v>
      </c>
      <c r="S80" s="84">
        <f t="shared" si="26"/>
        <v>7595842</v>
      </c>
      <c r="T80" s="84">
        <f t="shared" si="26"/>
        <v>327778</v>
      </c>
      <c r="U80" s="84">
        <f t="shared" ref="U80" si="27">U89-U71-U62-U53-U44-U35-U26-U17-U8</f>
        <v>502353</v>
      </c>
      <c r="V80" s="84">
        <f t="shared" si="26"/>
        <v>-3064719</v>
      </c>
      <c r="W80" s="84">
        <f t="shared" si="26"/>
        <v>-18316124</v>
      </c>
      <c r="X80" s="84">
        <f t="shared" si="26"/>
        <v>922296</v>
      </c>
      <c r="Y80" s="84">
        <f t="shared" si="26"/>
        <v>3151637</v>
      </c>
      <c r="Z80" s="84">
        <f t="shared" si="26"/>
        <v>4846225</v>
      </c>
      <c r="AA80" s="84">
        <f t="shared" si="26"/>
        <v>12532519</v>
      </c>
      <c r="AB80" s="84">
        <f t="shared" si="26"/>
        <v>20475</v>
      </c>
      <c r="AC80" s="84">
        <f t="shared" si="26"/>
        <v>38707</v>
      </c>
      <c r="AD80" s="84">
        <f t="shared" si="26"/>
        <v>71993</v>
      </c>
      <c r="AE80" s="84">
        <f t="shared" si="26"/>
        <v>380859</v>
      </c>
      <c r="AF80" s="84">
        <f t="shared" si="26"/>
        <v>-97205</v>
      </c>
      <c r="AG80" s="84">
        <f t="shared" si="26"/>
        <v>-262917</v>
      </c>
      <c r="AH80" s="84">
        <f t="shared" ref="AH80" si="28">AH89-AH71-AH62-AH53-AH44-AH35-AH26-AH17-AH8</f>
        <v>0</v>
      </c>
      <c r="AI80" s="84">
        <f t="shared" ref="AI80:BM80" si="29">AI89-AI71-AI62-AI53-AI44-AI35-AI26-AI17-AI8</f>
        <v>0</v>
      </c>
      <c r="AJ80" s="84">
        <f t="shared" si="29"/>
        <v>0</v>
      </c>
      <c r="AK80" s="84">
        <f t="shared" si="29"/>
        <v>0</v>
      </c>
      <c r="AL80" s="84">
        <f t="shared" si="29"/>
        <v>176668.94308508164</v>
      </c>
      <c r="AM80" s="84">
        <f t="shared" si="29"/>
        <v>911804.04050714243</v>
      </c>
      <c r="AN80" s="84">
        <f t="shared" si="29"/>
        <v>-2928</v>
      </c>
      <c r="AO80" s="84">
        <f t="shared" si="29"/>
        <v>-5656</v>
      </c>
      <c r="AP80" s="84">
        <f t="shared" si="29"/>
        <v>44431</v>
      </c>
      <c r="AQ80" s="84">
        <f t="shared" si="29"/>
        <v>161810</v>
      </c>
      <c r="AR80" s="84">
        <f t="shared" si="29"/>
        <v>3395136</v>
      </c>
      <c r="AS80" s="84">
        <f t="shared" si="29"/>
        <v>15997252</v>
      </c>
      <c r="AT80" s="84">
        <f t="shared" si="29"/>
        <v>0</v>
      </c>
      <c r="AU80" s="84">
        <f t="shared" si="29"/>
        <v>0</v>
      </c>
      <c r="AV80" s="84">
        <f t="shared" si="29"/>
        <v>-39823</v>
      </c>
      <c r="AW80" s="84">
        <f t="shared" si="29"/>
        <v>-40973</v>
      </c>
      <c r="AX80" s="84">
        <f t="shared" si="29"/>
        <v>2970616</v>
      </c>
      <c r="AY80" s="84">
        <f t="shared" si="29"/>
        <v>14094439</v>
      </c>
      <c r="AZ80" s="84">
        <f t="shared" si="29"/>
        <v>14857</v>
      </c>
      <c r="BA80" s="84">
        <f t="shared" si="29"/>
        <v>31188</v>
      </c>
      <c r="BB80" s="84">
        <f t="shared" si="29"/>
        <v>5492600</v>
      </c>
      <c r="BC80" s="84">
        <f t="shared" si="29"/>
        <v>15677355</v>
      </c>
      <c r="BD80" s="84">
        <f t="shared" si="29"/>
        <v>125481</v>
      </c>
      <c r="BE80" s="84">
        <f t="shared" si="29"/>
        <v>678434</v>
      </c>
      <c r="BF80" s="84">
        <f t="shared" si="29"/>
        <v>552890</v>
      </c>
      <c r="BG80" s="84">
        <f t="shared" si="29"/>
        <v>2301735</v>
      </c>
      <c r="BH80" s="84">
        <f t="shared" si="29"/>
        <v>673584</v>
      </c>
      <c r="BI80" s="84">
        <f t="shared" si="29"/>
        <v>1654436</v>
      </c>
      <c r="BJ80" s="84">
        <f t="shared" si="29"/>
        <v>617801</v>
      </c>
      <c r="BK80" s="84">
        <f t="shared" si="29"/>
        <v>2401091</v>
      </c>
      <c r="BL80" s="84">
        <f t="shared" si="29"/>
        <v>3853551</v>
      </c>
      <c r="BM80" s="84">
        <f t="shared" si="29"/>
        <v>8994959</v>
      </c>
      <c r="BN80" s="73">
        <f t="shared" si="20"/>
        <v>40997808.883085079</v>
      </c>
      <c r="BO80" s="73">
        <f t="shared" si="21"/>
        <v>143956453.39050713</v>
      </c>
    </row>
    <row r="81" spans="1:67" x14ac:dyDescent="0.25">
      <c r="A81" s="84" t="s">
        <v>229</v>
      </c>
      <c r="B81" s="84">
        <f t="shared" ref="B81:AG81" si="30">B90-B72-B63-B54-B45-B36-B27-B18-B9</f>
        <v>0</v>
      </c>
      <c r="C81" s="84">
        <f t="shared" si="30"/>
        <v>0</v>
      </c>
      <c r="D81" s="84">
        <f t="shared" si="30"/>
        <v>1</v>
      </c>
      <c r="E81" s="84">
        <f t="shared" si="30"/>
        <v>0</v>
      </c>
      <c r="F81" s="84">
        <f t="shared" si="30"/>
        <v>9457892</v>
      </c>
      <c r="G81" s="84">
        <f t="shared" si="30"/>
        <v>45875810</v>
      </c>
      <c r="H81" s="84">
        <f t="shared" si="30"/>
        <v>2162391</v>
      </c>
      <c r="I81" s="84">
        <f t="shared" si="30"/>
        <v>7100571</v>
      </c>
      <c r="J81" s="84">
        <f t="shared" si="30"/>
        <v>389581</v>
      </c>
      <c r="K81" s="84">
        <f t="shared" si="30"/>
        <v>1474558</v>
      </c>
      <c r="L81" s="84">
        <f t="shared" si="30"/>
        <v>62312</v>
      </c>
      <c r="M81" s="84">
        <f t="shared" si="30"/>
        <v>209104</v>
      </c>
      <c r="N81" s="84">
        <f t="shared" si="30"/>
        <v>2196368.54</v>
      </c>
      <c r="O81" s="84">
        <f t="shared" si="30"/>
        <v>5702592.4800000004</v>
      </c>
      <c r="P81" s="84">
        <f t="shared" si="30"/>
        <v>0</v>
      </c>
      <c r="Q81" s="84">
        <f t="shared" si="30"/>
        <v>527</v>
      </c>
      <c r="R81" s="84">
        <f t="shared" si="30"/>
        <v>1310706</v>
      </c>
      <c r="S81" s="84">
        <f t="shared" si="30"/>
        <v>2821615</v>
      </c>
      <c r="T81" s="84">
        <f t="shared" si="30"/>
        <v>425535</v>
      </c>
      <c r="U81" s="84">
        <f t="shared" ref="U81" si="31">U90-U72-U63-U54-U45-U36-U27-U18-U9</f>
        <v>806704</v>
      </c>
      <c r="V81" s="84">
        <f t="shared" si="30"/>
        <v>1059191</v>
      </c>
      <c r="W81" s="84">
        <f t="shared" si="30"/>
        <v>5218881</v>
      </c>
      <c r="X81" s="84">
        <f t="shared" si="30"/>
        <v>1102723</v>
      </c>
      <c r="Y81" s="84">
        <f t="shared" si="30"/>
        <v>2924498</v>
      </c>
      <c r="Z81" s="84">
        <f t="shared" si="30"/>
        <v>1651210</v>
      </c>
      <c r="AA81" s="84">
        <f t="shared" si="30"/>
        <v>4187851</v>
      </c>
      <c r="AB81" s="84">
        <f t="shared" si="30"/>
        <v>26222</v>
      </c>
      <c r="AC81" s="84">
        <f t="shared" si="30"/>
        <v>59719</v>
      </c>
      <c r="AD81" s="84">
        <f t="shared" si="30"/>
        <v>88449</v>
      </c>
      <c r="AE81" s="84">
        <f t="shared" si="30"/>
        <v>177869</v>
      </c>
      <c r="AF81" s="84">
        <f t="shared" si="30"/>
        <v>4828</v>
      </c>
      <c r="AG81" s="84">
        <f t="shared" si="30"/>
        <v>17317</v>
      </c>
      <c r="AH81" s="84">
        <f t="shared" ref="AH81" si="32">AH90-AH72-AH63-AH54-AH45-AH36-AH27-AH18-AH9</f>
        <v>-1</v>
      </c>
      <c r="AI81" s="84">
        <f t="shared" ref="AI81:BM81" si="33">AI90-AI72-AI63-AI54-AI45-AI36-AI27-AI18-AI9</f>
        <v>0</v>
      </c>
      <c r="AJ81" s="84">
        <f t="shared" si="33"/>
        <v>0</v>
      </c>
      <c r="AK81" s="84">
        <f t="shared" si="33"/>
        <v>0</v>
      </c>
      <c r="AL81" s="84">
        <f t="shared" si="33"/>
        <v>2047410.604917963</v>
      </c>
      <c r="AM81" s="84">
        <f t="shared" si="33"/>
        <v>9503947.8037629426</v>
      </c>
      <c r="AN81" s="84">
        <f t="shared" si="33"/>
        <v>26222</v>
      </c>
      <c r="AO81" s="84">
        <f t="shared" si="33"/>
        <v>42525</v>
      </c>
      <c r="AP81" s="84">
        <f t="shared" si="33"/>
        <v>109603</v>
      </c>
      <c r="AQ81" s="84">
        <f t="shared" si="33"/>
        <v>331590</v>
      </c>
      <c r="AR81" s="84">
        <f t="shared" si="33"/>
        <v>1027852</v>
      </c>
      <c r="AS81" s="84">
        <f t="shared" si="33"/>
        <v>4842715</v>
      </c>
      <c r="AT81" s="84">
        <f t="shared" si="33"/>
        <v>0</v>
      </c>
      <c r="AU81" s="84">
        <f t="shared" si="33"/>
        <v>0</v>
      </c>
      <c r="AV81" s="84">
        <f t="shared" si="33"/>
        <v>518959</v>
      </c>
      <c r="AW81" s="84">
        <f t="shared" si="33"/>
        <v>613177</v>
      </c>
      <c r="AX81" s="84">
        <f t="shared" si="33"/>
        <v>-674371</v>
      </c>
      <c r="AY81" s="84">
        <f t="shared" si="33"/>
        <v>2533201</v>
      </c>
      <c r="AZ81" s="84">
        <f t="shared" si="33"/>
        <v>28532</v>
      </c>
      <c r="BA81" s="84">
        <f t="shared" si="33"/>
        <v>84389</v>
      </c>
      <c r="BB81" s="84">
        <f t="shared" si="33"/>
        <v>16215140</v>
      </c>
      <c r="BC81" s="84">
        <f t="shared" si="33"/>
        <v>45589847</v>
      </c>
      <c r="BD81" s="84">
        <f t="shared" si="33"/>
        <v>352614</v>
      </c>
      <c r="BE81" s="84">
        <f t="shared" si="33"/>
        <v>1099105</v>
      </c>
      <c r="BF81" s="84">
        <f t="shared" si="33"/>
        <v>2591482</v>
      </c>
      <c r="BG81" s="84">
        <f t="shared" si="33"/>
        <v>14238295</v>
      </c>
      <c r="BH81" s="84">
        <f t="shared" si="33"/>
        <v>1734682</v>
      </c>
      <c r="BI81" s="84">
        <f t="shared" si="33"/>
        <v>7772469</v>
      </c>
      <c r="BJ81" s="84">
        <f t="shared" si="33"/>
        <v>5476391</v>
      </c>
      <c r="BK81" s="84">
        <f t="shared" si="33"/>
        <v>8034709</v>
      </c>
      <c r="BL81" s="84">
        <f t="shared" si="33"/>
        <v>1001786</v>
      </c>
      <c r="BM81" s="84">
        <f t="shared" si="33"/>
        <v>2391002</v>
      </c>
      <c r="BN81" s="73">
        <f t="shared" si="20"/>
        <v>50393711.144917965</v>
      </c>
      <c r="BO81" s="73">
        <f t="shared" si="21"/>
        <v>173654588.28376293</v>
      </c>
    </row>
    <row r="82" spans="1:67" x14ac:dyDescent="0.25">
      <c r="A82" s="84" t="s">
        <v>230</v>
      </c>
      <c r="B82" s="84">
        <f t="shared" ref="B82:AG82" si="34">B91-B73-B64-B55-B46-B37-B28-B19-B10</f>
        <v>0</v>
      </c>
      <c r="C82" s="84">
        <f t="shared" si="34"/>
        <v>0</v>
      </c>
      <c r="D82" s="84">
        <f t="shared" si="34"/>
        <v>0</v>
      </c>
      <c r="E82" s="84">
        <f t="shared" si="34"/>
        <v>0</v>
      </c>
      <c r="F82" s="84">
        <f t="shared" si="34"/>
        <v>25043051</v>
      </c>
      <c r="G82" s="84">
        <f t="shared" si="34"/>
        <v>54065676</v>
      </c>
      <c r="H82" s="84">
        <f t="shared" si="34"/>
        <v>2208671</v>
      </c>
      <c r="I82" s="84">
        <f t="shared" si="34"/>
        <v>6524688</v>
      </c>
      <c r="J82" s="84">
        <f t="shared" si="34"/>
        <v>877723</v>
      </c>
      <c r="K82" s="84">
        <f t="shared" si="34"/>
        <v>1459261</v>
      </c>
      <c r="L82" s="84">
        <f t="shared" si="34"/>
        <v>86033</v>
      </c>
      <c r="M82" s="84">
        <f t="shared" si="34"/>
        <v>260573</v>
      </c>
      <c r="N82" s="84">
        <f t="shared" si="34"/>
        <v>2191845.4900000002</v>
      </c>
      <c r="O82" s="84">
        <f t="shared" si="34"/>
        <v>5783858.5899999999</v>
      </c>
      <c r="P82" s="84">
        <f t="shared" si="34"/>
        <v>175</v>
      </c>
      <c r="Q82" s="84">
        <f t="shared" si="34"/>
        <v>206</v>
      </c>
      <c r="R82" s="84">
        <f t="shared" si="34"/>
        <v>1490312</v>
      </c>
      <c r="S82" s="84">
        <f t="shared" si="34"/>
        <v>2770423</v>
      </c>
      <c r="T82" s="84">
        <f t="shared" si="34"/>
        <v>432065</v>
      </c>
      <c r="U82" s="84">
        <f t="shared" ref="U82" si="35">U91-U73-U64-U55-U46-U37-U28-U19-U10</f>
        <v>652004</v>
      </c>
      <c r="V82" s="84">
        <f t="shared" si="34"/>
        <v>1925289</v>
      </c>
      <c r="W82" s="84">
        <f t="shared" si="34"/>
        <v>4987282</v>
      </c>
      <c r="X82" s="84">
        <f t="shared" si="34"/>
        <v>976369</v>
      </c>
      <c r="Y82" s="84">
        <f t="shared" si="34"/>
        <v>2860523</v>
      </c>
      <c r="Z82" s="84">
        <f t="shared" si="34"/>
        <v>1855422</v>
      </c>
      <c r="AA82" s="84">
        <f t="shared" si="34"/>
        <v>3605824</v>
      </c>
      <c r="AB82" s="84">
        <f t="shared" si="34"/>
        <v>11750</v>
      </c>
      <c r="AC82" s="84">
        <f t="shared" si="34"/>
        <v>31353</v>
      </c>
      <c r="AD82" s="84">
        <f t="shared" si="34"/>
        <v>70977</v>
      </c>
      <c r="AE82" s="84">
        <f t="shared" si="34"/>
        <v>226836</v>
      </c>
      <c r="AF82" s="84">
        <f t="shared" si="34"/>
        <v>8492</v>
      </c>
      <c r="AG82" s="84">
        <f t="shared" si="34"/>
        <v>19991</v>
      </c>
      <c r="AH82" s="84">
        <f t="shared" ref="AH82" si="36">AH91-AH73-AH64-AH55-AH46-AH37-AH28-AH19-AH10</f>
        <v>0</v>
      </c>
      <c r="AI82" s="84">
        <f t="shared" ref="AI82:BM82" si="37">AI91-AI73-AI64-AI55-AI46-AI37-AI28-AI19-AI10</f>
        <v>0</v>
      </c>
      <c r="AJ82" s="84">
        <f t="shared" si="37"/>
        <v>0</v>
      </c>
      <c r="AK82" s="84">
        <f t="shared" si="37"/>
        <v>0</v>
      </c>
      <c r="AL82" s="84">
        <f t="shared" si="37"/>
        <v>5100216.9669179628</v>
      </c>
      <c r="AM82" s="84">
        <f t="shared" si="37"/>
        <v>10272168.017524868</v>
      </c>
      <c r="AN82" s="84">
        <f t="shared" si="37"/>
        <v>26789</v>
      </c>
      <c r="AO82" s="84">
        <f t="shared" si="37"/>
        <v>21163</v>
      </c>
      <c r="AP82" s="84">
        <f t="shared" si="37"/>
        <v>102667</v>
      </c>
      <c r="AQ82" s="84">
        <f t="shared" si="37"/>
        <v>284312</v>
      </c>
      <c r="AR82" s="84">
        <f t="shared" si="37"/>
        <v>1579826</v>
      </c>
      <c r="AS82" s="84">
        <f t="shared" si="37"/>
        <v>4820287</v>
      </c>
      <c r="AT82" s="84">
        <f t="shared" si="37"/>
        <v>0</v>
      </c>
      <c r="AU82" s="84">
        <f t="shared" si="37"/>
        <v>0</v>
      </c>
      <c r="AV82" s="84">
        <f t="shared" si="37"/>
        <v>518166</v>
      </c>
      <c r="AW82" s="84">
        <f t="shared" si="37"/>
        <v>616294</v>
      </c>
      <c r="AX82" s="84">
        <f t="shared" si="37"/>
        <v>44504</v>
      </c>
      <c r="AY82" s="84">
        <f t="shared" si="37"/>
        <v>2866398</v>
      </c>
      <c r="AZ82" s="84">
        <f t="shared" si="37"/>
        <v>31189</v>
      </c>
      <c r="BA82" s="84">
        <f t="shared" si="37"/>
        <v>91162</v>
      </c>
      <c r="BB82" s="84">
        <f t="shared" si="37"/>
        <v>14196189</v>
      </c>
      <c r="BC82" s="84">
        <f t="shared" si="37"/>
        <v>39628147</v>
      </c>
      <c r="BD82" s="84">
        <f t="shared" si="37"/>
        <v>262310</v>
      </c>
      <c r="BE82" s="84">
        <f t="shared" si="37"/>
        <v>999637</v>
      </c>
      <c r="BF82" s="84">
        <f t="shared" si="37"/>
        <v>5598451</v>
      </c>
      <c r="BG82" s="84">
        <f t="shared" si="37"/>
        <v>13994827</v>
      </c>
      <c r="BH82" s="84">
        <f t="shared" si="37"/>
        <v>3680974</v>
      </c>
      <c r="BI82" s="84">
        <f t="shared" si="37"/>
        <v>8379558</v>
      </c>
      <c r="BJ82" s="84">
        <f t="shared" si="37"/>
        <v>3804032</v>
      </c>
      <c r="BK82" s="84">
        <f t="shared" si="37"/>
        <v>6934435</v>
      </c>
      <c r="BL82" s="84">
        <f t="shared" si="37"/>
        <v>1485553</v>
      </c>
      <c r="BM82" s="84">
        <f t="shared" si="37"/>
        <v>2229530</v>
      </c>
      <c r="BN82" s="73">
        <f t="shared" si="20"/>
        <v>73609041.456917971</v>
      </c>
      <c r="BO82" s="73">
        <f t="shared" si="21"/>
        <v>174386416.60752487</v>
      </c>
    </row>
    <row r="84" spans="1:67" x14ac:dyDescent="0.25">
      <c r="A84" s="24" t="s">
        <v>42</v>
      </c>
    </row>
    <row r="85" spans="1:67" x14ac:dyDescent="0.25">
      <c r="A85" s="1" t="s">
        <v>0</v>
      </c>
      <c r="B85" s="103" t="s">
        <v>1</v>
      </c>
      <c r="C85" s="104"/>
      <c r="D85" s="103" t="s">
        <v>282</v>
      </c>
      <c r="E85" s="104"/>
      <c r="F85" s="103" t="s">
        <v>2</v>
      </c>
      <c r="G85" s="104"/>
      <c r="H85" s="103" t="s">
        <v>3</v>
      </c>
      <c r="I85" s="104"/>
      <c r="J85" s="103" t="s">
        <v>4</v>
      </c>
      <c r="K85" s="104"/>
      <c r="L85" s="103" t="s">
        <v>283</v>
      </c>
      <c r="M85" s="104"/>
      <c r="N85" s="103" t="s">
        <v>6</v>
      </c>
      <c r="O85" s="104"/>
      <c r="P85" s="103" t="s">
        <v>5</v>
      </c>
      <c r="Q85" s="104"/>
      <c r="R85" s="103" t="s">
        <v>7</v>
      </c>
      <c r="S85" s="104"/>
      <c r="T85" s="103" t="s">
        <v>284</v>
      </c>
      <c r="U85" s="104"/>
      <c r="V85" s="103" t="s">
        <v>8</v>
      </c>
      <c r="W85" s="104"/>
      <c r="X85" s="103" t="s">
        <v>9</v>
      </c>
      <c r="Y85" s="104"/>
      <c r="Z85" s="103" t="s">
        <v>10</v>
      </c>
      <c r="AA85" s="104"/>
      <c r="AB85" s="103" t="s">
        <v>304</v>
      </c>
      <c r="AC85" s="104"/>
      <c r="AD85" s="103" t="s">
        <v>11</v>
      </c>
      <c r="AE85" s="104"/>
      <c r="AF85" s="103" t="s">
        <v>12</v>
      </c>
      <c r="AG85" s="104"/>
      <c r="AH85" s="103" t="s">
        <v>285</v>
      </c>
      <c r="AI85" s="104"/>
      <c r="AJ85" s="103" t="s">
        <v>290</v>
      </c>
      <c r="AK85" s="104"/>
      <c r="AL85" s="103" t="s">
        <v>13</v>
      </c>
      <c r="AM85" s="104"/>
      <c r="AN85" s="103" t="s">
        <v>286</v>
      </c>
      <c r="AO85" s="104"/>
      <c r="AP85" s="103" t="s">
        <v>287</v>
      </c>
      <c r="AQ85" s="104"/>
      <c r="AR85" s="103" t="s">
        <v>291</v>
      </c>
      <c r="AS85" s="104"/>
      <c r="AT85" s="103" t="s">
        <v>305</v>
      </c>
      <c r="AU85" s="104"/>
      <c r="AV85" s="103" t="s">
        <v>14</v>
      </c>
      <c r="AW85" s="104"/>
      <c r="AX85" s="103" t="s">
        <v>15</v>
      </c>
      <c r="AY85" s="104"/>
      <c r="AZ85" s="103" t="s">
        <v>16</v>
      </c>
      <c r="BA85" s="104"/>
      <c r="BB85" s="103" t="s">
        <v>17</v>
      </c>
      <c r="BC85" s="104"/>
      <c r="BD85" s="103" t="s">
        <v>18</v>
      </c>
      <c r="BE85" s="104"/>
      <c r="BF85" s="103" t="s">
        <v>288</v>
      </c>
      <c r="BG85" s="104"/>
      <c r="BH85" s="103" t="s">
        <v>289</v>
      </c>
      <c r="BI85" s="104"/>
      <c r="BJ85" s="103" t="s">
        <v>19</v>
      </c>
      <c r="BK85" s="104"/>
      <c r="BL85" s="103" t="s">
        <v>20</v>
      </c>
      <c r="BM85" s="104"/>
      <c r="BN85" s="105" t="s">
        <v>21</v>
      </c>
      <c r="BO85" s="106"/>
    </row>
    <row r="86" spans="1:67" ht="30" x14ac:dyDescent="0.25">
      <c r="A86" s="1"/>
      <c r="B86" s="57" t="s">
        <v>293</v>
      </c>
      <c r="C86" s="58" t="s">
        <v>294</v>
      </c>
      <c r="D86" s="57" t="s">
        <v>293</v>
      </c>
      <c r="E86" s="58" t="s">
        <v>294</v>
      </c>
      <c r="F86" s="57" t="s">
        <v>293</v>
      </c>
      <c r="G86" s="58" t="s">
        <v>294</v>
      </c>
      <c r="H86" s="57" t="s">
        <v>293</v>
      </c>
      <c r="I86" s="58" t="s">
        <v>294</v>
      </c>
      <c r="J86" s="57" t="s">
        <v>293</v>
      </c>
      <c r="K86" s="58" t="s">
        <v>294</v>
      </c>
      <c r="L86" s="57" t="s">
        <v>293</v>
      </c>
      <c r="M86" s="58" t="s">
        <v>294</v>
      </c>
      <c r="N86" s="57" t="s">
        <v>293</v>
      </c>
      <c r="O86" s="58" t="s">
        <v>294</v>
      </c>
      <c r="P86" s="57" t="s">
        <v>293</v>
      </c>
      <c r="Q86" s="58" t="s">
        <v>294</v>
      </c>
      <c r="R86" s="57" t="s">
        <v>293</v>
      </c>
      <c r="S86" s="58" t="s">
        <v>294</v>
      </c>
      <c r="T86" s="57" t="s">
        <v>293</v>
      </c>
      <c r="U86" s="58" t="s">
        <v>294</v>
      </c>
      <c r="V86" s="57" t="s">
        <v>293</v>
      </c>
      <c r="W86" s="58" t="s">
        <v>294</v>
      </c>
      <c r="X86" s="57" t="s">
        <v>293</v>
      </c>
      <c r="Y86" s="58" t="s">
        <v>294</v>
      </c>
      <c r="Z86" s="57" t="s">
        <v>293</v>
      </c>
      <c r="AA86" s="58" t="s">
        <v>294</v>
      </c>
      <c r="AB86" s="57" t="s">
        <v>293</v>
      </c>
      <c r="AC86" s="58" t="s">
        <v>294</v>
      </c>
      <c r="AD86" s="57" t="s">
        <v>293</v>
      </c>
      <c r="AE86" s="58" t="s">
        <v>294</v>
      </c>
      <c r="AF86" s="57" t="s">
        <v>293</v>
      </c>
      <c r="AG86" s="58" t="s">
        <v>294</v>
      </c>
      <c r="AH86" s="57" t="s">
        <v>293</v>
      </c>
      <c r="AI86" s="58" t="s">
        <v>294</v>
      </c>
      <c r="AJ86" s="57" t="s">
        <v>293</v>
      </c>
      <c r="AK86" s="58" t="s">
        <v>294</v>
      </c>
      <c r="AL86" s="57" t="s">
        <v>293</v>
      </c>
      <c r="AM86" s="58" t="s">
        <v>294</v>
      </c>
      <c r="AN86" s="57" t="s">
        <v>293</v>
      </c>
      <c r="AO86" s="58" t="s">
        <v>294</v>
      </c>
      <c r="AP86" s="57" t="s">
        <v>293</v>
      </c>
      <c r="AQ86" s="58" t="s">
        <v>294</v>
      </c>
      <c r="AR86" s="57" t="s">
        <v>293</v>
      </c>
      <c r="AS86" s="58" t="s">
        <v>294</v>
      </c>
      <c r="AT86" s="57" t="s">
        <v>293</v>
      </c>
      <c r="AU86" s="58" t="s">
        <v>294</v>
      </c>
      <c r="AV86" s="57" t="s">
        <v>293</v>
      </c>
      <c r="AW86" s="58" t="s">
        <v>294</v>
      </c>
      <c r="AX86" s="57" t="s">
        <v>293</v>
      </c>
      <c r="AY86" s="58" t="s">
        <v>294</v>
      </c>
      <c r="AZ86" s="57" t="s">
        <v>293</v>
      </c>
      <c r="BA86" s="58" t="s">
        <v>294</v>
      </c>
      <c r="BB86" s="57" t="s">
        <v>293</v>
      </c>
      <c r="BC86" s="58" t="s">
        <v>294</v>
      </c>
      <c r="BD86" s="57" t="s">
        <v>293</v>
      </c>
      <c r="BE86" s="58" t="s">
        <v>294</v>
      </c>
      <c r="BF86" s="57" t="s">
        <v>293</v>
      </c>
      <c r="BG86" s="58" t="s">
        <v>294</v>
      </c>
      <c r="BH86" s="57" t="s">
        <v>293</v>
      </c>
      <c r="BI86" s="58" t="s">
        <v>294</v>
      </c>
      <c r="BJ86" s="57" t="s">
        <v>293</v>
      </c>
      <c r="BK86" s="58" t="s">
        <v>294</v>
      </c>
      <c r="BL86" s="57" t="s">
        <v>293</v>
      </c>
      <c r="BM86" s="58" t="s">
        <v>294</v>
      </c>
      <c r="BN86" s="57" t="s">
        <v>293</v>
      </c>
      <c r="BO86" s="58" t="s">
        <v>294</v>
      </c>
    </row>
    <row r="87" spans="1:67" x14ac:dyDescent="0.25">
      <c r="A87" s="84" t="s">
        <v>271</v>
      </c>
      <c r="B87" s="84">
        <v>1276889</v>
      </c>
      <c r="C87" s="84">
        <v>2772814</v>
      </c>
      <c r="D87" s="84">
        <v>3093032</v>
      </c>
      <c r="E87" s="84">
        <v>8593240</v>
      </c>
      <c r="F87" s="84">
        <v>17424845</v>
      </c>
      <c r="G87" s="84">
        <v>89620285</v>
      </c>
      <c r="H87" s="84">
        <v>33849028</v>
      </c>
      <c r="I87" s="84">
        <v>97938455</v>
      </c>
      <c r="J87" s="84">
        <v>8733921</v>
      </c>
      <c r="K87" s="84">
        <v>24293556</v>
      </c>
      <c r="L87" s="84">
        <v>11670534</v>
      </c>
      <c r="M87" s="84">
        <v>31180083</v>
      </c>
      <c r="N87" s="84">
        <v>2643998.48</v>
      </c>
      <c r="O87" s="84">
        <v>7164353.8300000001</v>
      </c>
      <c r="P87" s="84">
        <v>597432</v>
      </c>
      <c r="Q87" s="84">
        <v>1537620</v>
      </c>
      <c r="R87" s="84">
        <v>11578539</v>
      </c>
      <c r="S87" s="84">
        <v>27552431</v>
      </c>
      <c r="T87" s="84">
        <v>6801910</v>
      </c>
      <c r="U87" s="84">
        <v>16532332</v>
      </c>
      <c r="V87" s="84">
        <v>28289933</v>
      </c>
      <c r="W87" s="84">
        <v>87456937</v>
      </c>
      <c r="X87" s="84">
        <v>40336072</v>
      </c>
      <c r="Y87" s="84">
        <v>105250704</v>
      </c>
      <c r="Z87" s="84">
        <v>22119994</v>
      </c>
      <c r="AA87" s="84">
        <v>64399470</v>
      </c>
      <c r="AB87" s="84">
        <v>1487259</v>
      </c>
      <c r="AC87" s="84">
        <v>3823095</v>
      </c>
      <c r="AD87" s="84">
        <v>3953286</v>
      </c>
      <c r="AE87" s="84">
        <v>10460536</v>
      </c>
      <c r="AF87" s="84">
        <v>3382831</v>
      </c>
      <c r="AG87" s="84">
        <v>8518525</v>
      </c>
      <c r="AH87" s="84">
        <v>1991567</v>
      </c>
      <c r="AI87" s="84">
        <v>5283314</v>
      </c>
      <c r="AJ87" s="84">
        <v>4309902</v>
      </c>
      <c r="AK87" s="84">
        <v>11502634</v>
      </c>
      <c r="AL87" s="84">
        <v>35030022.536831126</v>
      </c>
      <c r="AM87" s="84">
        <v>105485011.09451313</v>
      </c>
      <c r="AN87" s="84">
        <v>336595</v>
      </c>
      <c r="AO87" s="84">
        <v>723857</v>
      </c>
      <c r="AP87" s="84">
        <v>897065</v>
      </c>
      <c r="AQ87" s="84">
        <v>1800899</v>
      </c>
      <c r="AR87" s="84">
        <v>18016818</v>
      </c>
      <c r="AS87" s="84">
        <v>63022351</v>
      </c>
      <c r="AT87" s="84">
        <v>6153263</v>
      </c>
      <c r="AU87" s="84">
        <v>17555022</v>
      </c>
      <c r="AV87" s="84">
        <v>8104138</v>
      </c>
      <c r="AW87" s="84">
        <v>20302879</v>
      </c>
      <c r="AX87" s="84">
        <v>16604594</v>
      </c>
      <c r="AY87" s="84">
        <v>52801297</v>
      </c>
      <c r="AZ87" s="84">
        <v>5493847</v>
      </c>
      <c r="BA87" s="84">
        <v>15583192</v>
      </c>
      <c r="BB87" s="84">
        <v>21707740</v>
      </c>
      <c r="BC87" s="84">
        <v>61267202</v>
      </c>
      <c r="BD87" s="84">
        <v>22500525</v>
      </c>
      <c r="BE87" s="84">
        <v>60310367</v>
      </c>
      <c r="BF87" s="84">
        <v>75592735</v>
      </c>
      <c r="BG87" s="84">
        <v>229302450</v>
      </c>
      <c r="BH87" s="84">
        <v>29975487</v>
      </c>
      <c r="BI87" s="84">
        <v>94247570</v>
      </c>
      <c r="BJ87" s="84">
        <v>41657924</v>
      </c>
      <c r="BK87" s="84">
        <v>118932115</v>
      </c>
      <c r="BL87" s="84">
        <v>8265594</v>
      </c>
      <c r="BM87" s="84">
        <v>21802367</v>
      </c>
      <c r="BN87" s="73">
        <f t="shared" ref="BN87:BN90" si="38">SUM(B87+D87+F87+H87+J87+L87+N87+P87+R87+T87+V87+X87+Z87+AB87+AD87+AF87+AH87+AJ87+AL87+AN87+AP87+AR87+AT87+AV87+AX87+AZ87+BB87+BD87+BF87+BH87+BJ87+BL87)</f>
        <v>493877320.01683116</v>
      </c>
      <c r="BO87" s="73">
        <f t="shared" ref="BO87:BO90" si="39">SUM(C87+E87+G87+I87+K87+M87+O87+Q87+S87+U87+W87+Y87+AA87+AC87+AE87+AG87+AI87+AK87+AM87+AO87+AQ87+AS87+AU87+AW87+AY87+BA87+BC87+BE87+BG87+BI87+BK87+BM87)</f>
        <v>1467016963.9245133</v>
      </c>
    </row>
    <row r="88" spans="1:67" x14ac:dyDescent="0.25">
      <c r="A88" s="84" t="s">
        <v>274</v>
      </c>
      <c r="B88" s="84"/>
      <c r="C88" s="84"/>
      <c r="D88" s="84"/>
      <c r="E88" s="84"/>
      <c r="F88" s="84">
        <v>0</v>
      </c>
      <c r="G88" s="84">
        <v>-89</v>
      </c>
      <c r="H88" s="84">
        <v>73671</v>
      </c>
      <c r="I88" s="84">
        <v>431127</v>
      </c>
      <c r="J88" s="84">
        <v>16415</v>
      </c>
      <c r="K88" s="84">
        <v>201166</v>
      </c>
      <c r="L88" s="84">
        <v>32803</v>
      </c>
      <c r="M88" s="84">
        <v>102551</v>
      </c>
      <c r="N88" s="84"/>
      <c r="O88" s="84"/>
      <c r="P88" s="84">
        <v>12196</v>
      </c>
      <c r="Q88" s="84">
        <v>58257</v>
      </c>
      <c r="R88" s="84">
        <v>134830</v>
      </c>
      <c r="S88" s="84">
        <v>585502</v>
      </c>
      <c r="T88" s="84">
        <v>2292143</v>
      </c>
      <c r="U88" s="84">
        <v>5681347</v>
      </c>
      <c r="V88" s="84">
        <v>301715</v>
      </c>
      <c r="W88" s="84">
        <v>1245225</v>
      </c>
      <c r="X88" s="84">
        <v>781261</v>
      </c>
      <c r="Y88" s="84">
        <v>2353860</v>
      </c>
      <c r="Z88" s="84">
        <v>386755</v>
      </c>
      <c r="AA88" s="84">
        <v>1059542</v>
      </c>
      <c r="AB88" s="84">
        <v>5898</v>
      </c>
      <c r="AC88" s="84">
        <v>24414</v>
      </c>
      <c r="AD88" s="84">
        <v>44993</v>
      </c>
      <c r="AE88" s="84">
        <v>110893</v>
      </c>
      <c r="AF88" s="84">
        <v>197048</v>
      </c>
      <c r="AG88" s="84">
        <v>593858</v>
      </c>
      <c r="AH88" s="84"/>
      <c r="AI88" s="84"/>
      <c r="AJ88" s="84"/>
      <c r="AK88" s="84"/>
      <c r="AL88" s="84">
        <v>456057.81478712894</v>
      </c>
      <c r="AM88" s="84">
        <v>1479737.6806208889</v>
      </c>
      <c r="AN88" s="84">
        <v>1180</v>
      </c>
      <c r="AO88" s="84">
        <v>4139</v>
      </c>
      <c r="AP88" s="84">
        <v>48659</v>
      </c>
      <c r="AQ88" s="84">
        <v>124217</v>
      </c>
      <c r="AR88" s="84">
        <v>190395</v>
      </c>
      <c r="AS88" s="84">
        <v>767598</v>
      </c>
      <c r="AT88" s="84">
        <v>43608</v>
      </c>
      <c r="AU88" s="84">
        <v>220245</v>
      </c>
      <c r="AV88" s="84">
        <v>136786</v>
      </c>
      <c r="AW88" s="84">
        <v>508412</v>
      </c>
      <c r="AX88" s="84">
        <v>45217</v>
      </c>
      <c r="AY88" s="84">
        <v>428203</v>
      </c>
      <c r="AZ88" s="84">
        <v>11115</v>
      </c>
      <c r="BA88" s="84">
        <v>48005</v>
      </c>
      <c r="BB88" s="84"/>
      <c r="BC88" s="84"/>
      <c r="BD88" s="84">
        <v>436129</v>
      </c>
      <c r="BE88" s="84">
        <v>1614544</v>
      </c>
      <c r="BF88" s="84">
        <v>2715367</v>
      </c>
      <c r="BG88" s="84">
        <v>10460924</v>
      </c>
      <c r="BH88" s="84">
        <v>1197582</v>
      </c>
      <c r="BI88" s="84">
        <v>2561187</v>
      </c>
      <c r="BJ88" s="84">
        <v>533535</v>
      </c>
      <c r="BK88" s="84">
        <v>1238282</v>
      </c>
      <c r="BL88" s="84">
        <v>12799</v>
      </c>
      <c r="BM88" s="84">
        <v>27792</v>
      </c>
      <c r="BN88" s="73">
        <f t="shared" si="38"/>
        <v>10108157.814787129</v>
      </c>
      <c r="BO88" s="73">
        <f t="shared" si="39"/>
        <v>31930938.680620886</v>
      </c>
    </row>
    <row r="89" spans="1:67" x14ac:dyDescent="0.25">
      <c r="A89" s="84" t="s">
        <v>275</v>
      </c>
      <c r="B89" s="84">
        <v>661510</v>
      </c>
      <c r="C89" s="84">
        <v>1403617</v>
      </c>
      <c r="D89" s="84">
        <v>665219</v>
      </c>
      <c r="E89" s="84">
        <v>2082195</v>
      </c>
      <c r="F89" s="84">
        <v>7966953</v>
      </c>
      <c r="G89" s="84">
        <v>43744386</v>
      </c>
      <c r="H89" s="84">
        <v>13981250</v>
      </c>
      <c r="I89" s="84">
        <v>43831811</v>
      </c>
      <c r="J89" s="84">
        <v>2872559</v>
      </c>
      <c r="K89" s="84">
        <v>10193749</v>
      </c>
      <c r="L89" s="84">
        <v>2584198</v>
      </c>
      <c r="M89" s="84">
        <v>7478483</v>
      </c>
      <c r="N89" s="84">
        <v>447629.94</v>
      </c>
      <c r="O89" s="84">
        <v>1461761.35</v>
      </c>
      <c r="P89" s="84">
        <v>83615</v>
      </c>
      <c r="Q89" s="84">
        <v>253351</v>
      </c>
      <c r="R89" s="84">
        <v>5391522</v>
      </c>
      <c r="S89" s="84">
        <v>12308054</v>
      </c>
      <c r="T89" s="84">
        <v>1653154</v>
      </c>
      <c r="U89" s="84">
        <v>5031708</v>
      </c>
      <c r="V89" s="84">
        <v>-12229782</v>
      </c>
      <c r="W89" s="84">
        <v>-43406088</v>
      </c>
      <c r="X89" s="84">
        <v>9028766</v>
      </c>
      <c r="Y89" s="84">
        <v>28402676</v>
      </c>
      <c r="Z89" s="84">
        <v>9681449</v>
      </c>
      <c r="AA89" s="84">
        <v>26745333</v>
      </c>
      <c r="AB89" s="84">
        <v>189683</v>
      </c>
      <c r="AC89" s="84">
        <v>479350</v>
      </c>
      <c r="AD89" s="84">
        <v>449838</v>
      </c>
      <c r="AE89" s="84">
        <v>1861083</v>
      </c>
      <c r="AF89" s="84">
        <v>-1322306</v>
      </c>
      <c r="AG89" s="84">
        <v>-3500499</v>
      </c>
      <c r="AH89" s="84">
        <v>103540</v>
      </c>
      <c r="AI89" s="84">
        <v>274395</v>
      </c>
      <c r="AJ89" s="84">
        <v>953728</v>
      </c>
      <c r="AK89" s="84">
        <v>2628214</v>
      </c>
      <c r="AL89" s="84">
        <v>5600250.6282193521</v>
      </c>
      <c r="AM89" s="84">
        <v>13579291.545471951</v>
      </c>
      <c r="AN89" s="84">
        <v>-52603</v>
      </c>
      <c r="AO89" s="84">
        <v>-109509</v>
      </c>
      <c r="AP89" s="84">
        <v>142565</v>
      </c>
      <c r="AQ89" s="84">
        <v>369073</v>
      </c>
      <c r="AR89" s="84">
        <v>8192765</v>
      </c>
      <c r="AS89" s="84">
        <v>32824539</v>
      </c>
      <c r="AT89" s="84">
        <v>1405778</v>
      </c>
      <c r="AU89" s="84">
        <v>4217554</v>
      </c>
      <c r="AV89" s="84">
        <v>-1830540</v>
      </c>
      <c r="AW89" s="84">
        <v>-5656427</v>
      </c>
      <c r="AX89" s="84">
        <v>8443776</v>
      </c>
      <c r="AY89" s="84">
        <v>27704455</v>
      </c>
      <c r="AZ89" s="84">
        <v>410520</v>
      </c>
      <c r="BA89" s="84">
        <v>1125743</v>
      </c>
      <c r="BB89" s="84">
        <v>5492600</v>
      </c>
      <c r="BC89" s="84">
        <v>15677355</v>
      </c>
      <c r="BD89" s="84">
        <v>5925007</v>
      </c>
      <c r="BE89" s="84">
        <v>19759371</v>
      </c>
      <c r="BF89" s="84">
        <v>14835604</v>
      </c>
      <c r="BG89" s="84">
        <v>43012306</v>
      </c>
      <c r="BH89" s="84">
        <v>5003765</v>
      </c>
      <c r="BI89" s="84">
        <v>16807438</v>
      </c>
      <c r="BJ89" s="84">
        <v>5486234</v>
      </c>
      <c r="BK89" s="84">
        <v>20767582</v>
      </c>
      <c r="BL89" s="84">
        <v>4397565</v>
      </c>
      <c r="BM89" s="84">
        <v>11307441</v>
      </c>
      <c r="BN89" s="73">
        <f t="shared" si="38"/>
        <v>106615812.56821935</v>
      </c>
      <c r="BO89" s="73">
        <f t="shared" si="39"/>
        <v>342659791.89547193</v>
      </c>
    </row>
    <row r="90" spans="1:67" x14ac:dyDescent="0.25">
      <c r="A90" s="84" t="s">
        <v>229</v>
      </c>
      <c r="B90" s="84">
        <v>615379</v>
      </c>
      <c r="C90" s="84">
        <v>1369197</v>
      </c>
      <c r="D90" s="84">
        <v>2427814</v>
      </c>
      <c r="E90" s="84">
        <v>6511045</v>
      </c>
      <c r="F90" s="84">
        <v>9457892</v>
      </c>
      <c r="G90" s="84">
        <v>45875810</v>
      </c>
      <c r="H90" s="84">
        <v>19941449</v>
      </c>
      <c r="I90" s="84">
        <v>54537771</v>
      </c>
      <c r="J90" s="84">
        <v>5877777</v>
      </c>
      <c r="K90" s="84">
        <v>14300974</v>
      </c>
      <c r="L90" s="84">
        <v>9119139</v>
      </c>
      <c r="M90" s="84">
        <v>23804151</v>
      </c>
      <c r="N90" s="84">
        <v>2196368.54</v>
      </c>
      <c r="O90" s="84">
        <v>5702592.4800000004</v>
      </c>
      <c r="P90" s="84">
        <v>526013</v>
      </c>
      <c r="Q90" s="84">
        <v>1342526</v>
      </c>
      <c r="R90" s="84">
        <v>6321846</v>
      </c>
      <c r="S90" s="84">
        <v>15829878</v>
      </c>
      <c r="T90" s="84">
        <v>7440899</v>
      </c>
      <c r="U90" s="84">
        <v>17181971</v>
      </c>
      <c r="V90" s="84">
        <v>16361866</v>
      </c>
      <c r="W90" s="84">
        <v>45296074</v>
      </c>
      <c r="X90" s="84">
        <v>32088567</v>
      </c>
      <c r="Y90" s="84">
        <v>79201888</v>
      </c>
      <c r="Z90" s="84">
        <v>12825300</v>
      </c>
      <c r="AA90" s="84">
        <v>38713679</v>
      </c>
      <c r="AB90" s="84">
        <v>1303474</v>
      </c>
      <c r="AC90" s="84">
        <v>3368159</v>
      </c>
      <c r="AD90" s="84">
        <v>3548441</v>
      </c>
      <c r="AE90" s="84">
        <v>8710346</v>
      </c>
      <c r="AF90" s="84">
        <v>2257573</v>
      </c>
      <c r="AG90" s="84">
        <v>5611884</v>
      </c>
      <c r="AH90" s="84">
        <v>1888026</v>
      </c>
      <c r="AI90" s="84">
        <v>5008919</v>
      </c>
      <c r="AJ90" s="84">
        <v>3356174</v>
      </c>
      <c r="AK90" s="84">
        <v>8874420</v>
      </c>
      <c r="AL90" s="84">
        <v>29885829.723398902</v>
      </c>
      <c r="AM90" s="84">
        <v>93385457.229662076</v>
      </c>
      <c r="AN90" s="84">
        <v>285172</v>
      </c>
      <c r="AO90" s="84">
        <v>618487</v>
      </c>
      <c r="AP90" s="84">
        <v>803159</v>
      </c>
      <c r="AQ90" s="84">
        <v>1556043</v>
      </c>
      <c r="AR90" s="84">
        <v>10014448</v>
      </c>
      <c r="AS90" s="84">
        <v>30965410</v>
      </c>
      <c r="AT90" s="84">
        <v>4791093</v>
      </c>
      <c r="AU90" s="84">
        <v>13557713</v>
      </c>
      <c r="AV90" s="84">
        <v>6410384</v>
      </c>
      <c r="AW90" s="84">
        <v>15154864</v>
      </c>
      <c r="AX90" s="84">
        <v>8206035</v>
      </c>
      <c r="AY90" s="84">
        <v>25525045</v>
      </c>
      <c r="AZ90" s="84">
        <v>5094443</v>
      </c>
      <c r="BA90" s="84">
        <v>14505453</v>
      </c>
      <c r="BB90" s="84">
        <v>16215140</v>
      </c>
      <c r="BC90" s="84">
        <v>45589847</v>
      </c>
      <c r="BD90" s="84">
        <v>17011647</v>
      </c>
      <c r="BE90" s="84">
        <v>42165540</v>
      </c>
      <c r="BF90" s="84">
        <v>63472498</v>
      </c>
      <c r="BG90" s="84">
        <v>196751069</v>
      </c>
      <c r="BH90" s="84">
        <v>26169304</v>
      </c>
      <c r="BI90" s="84">
        <v>80001319</v>
      </c>
      <c r="BJ90" s="84">
        <v>36705225</v>
      </c>
      <c r="BK90" s="84">
        <v>99402815</v>
      </c>
      <c r="BL90" s="84">
        <v>3880828</v>
      </c>
      <c r="BM90" s="84">
        <v>10522718</v>
      </c>
      <c r="BN90" s="73">
        <f t="shared" si="38"/>
        <v>366499203.26339889</v>
      </c>
      <c r="BO90" s="73">
        <f t="shared" si="39"/>
        <v>1050943064.7096621</v>
      </c>
    </row>
    <row r="91" spans="1:67" x14ac:dyDescent="0.25">
      <c r="A91" s="84" t="s">
        <v>230</v>
      </c>
      <c r="B91" s="84">
        <v>508013</v>
      </c>
      <c r="C91" s="84">
        <v>1177698</v>
      </c>
      <c r="D91" s="84">
        <v>2105454</v>
      </c>
      <c r="E91" s="84">
        <v>5404770</v>
      </c>
      <c r="F91" s="84">
        <v>25043051</v>
      </c>
      <c r="G91" s="84">
        <v>54065676</v>
      </c>
      <c r="H91" s="84">
        <v>18380849</v>
      </c>
      <c r="I91" s="84">
        <v>56417746</v>
      </c>
      <c r="J91" s="84">
        <v>5126031</v>
      </c>
      <c r="K91" s="84">
        <v>13935121</v>
      </c>
      <c r="L91" s="84">
        <v>7885470</v>
      </c>
      <c r="M91" s="84">
        <v>23835253</v>
      </c>
      <c r="N91" s="84">
        <v>2191845.4900000002</v>
      </c>
      <c r="O91" s="84">
        <v>5783858.5899999999</v>
      </c>
      <c r="P91" s="84">
        <v>448418</v>
      </c>
      <c r="Q91" s="84">
        <v>1201520</v>
      </c>
      <c r="R91" s="84">
        <v>6063416</v>
      </c>
      <c r="S91" s="84">
        <v>16094201</v>
      </c>
      <c r="T91" s="84">
        <v>5401865</v>
      </c>
      <c r="U91" s="84">
        <v>13703344</v>
      </c>
      <c r="V91" s="84">
        <v>16603136</v>
      </c>
      <c r="W91" s="84">
        <v>48312447</v>
      </c>
      <c r="X91" s="84">
        <v>26114113</v>
      </c>
      <c r="Y91" s="84">
        <v>73977746</v>
      </c>
      <c r="Z91" s="84">
        <v>13216713</v>
      </c>
      <c r="AA91" s="84">
        <v>36130354</v>
      </c>
      <c r="AB91" s="84">
        <v>1021163</v>
      </c>
      <c r="AC91" s="84">
        <v>2827665</v>
      </c>
      <c r="AD91" s="84">
        <v>3043623</v>
      </c>
      <c r="AE91" s="84">
        <v>9345301</v>
      </c>
      <c r="AF91" s="84">
        <v>1920762</v>
      </c>
      <c r="AG91" s="84">
        <v>5700620</v>
      </c>
      <c r="AH91" s="84">
        <v>1716201</v>
      </c>
      <c r="AI91" s="84">
        <v>4475558</v>
      </c>
      <c r="AJ91" s="84">
        <v>2835116</v>
      </c>
      <c r="AK91" s="84">
        <v>7647968</v>
      </c>
      <c r="AL91" s="84">
        <v>28678759.294218902</v>
      </c>
      <c r="AM91" s="84">
        <v>84407681.871563986</v>
      </c>
      <c r="AN91" s="84">
        <v>238665</v>
      </c>
      <c r="AO91" s="84">
        <v>690329</v>
      </c>
      <c r="AP91" s="84">
        <v>536847</v>
      </c>
      <c r="AQ91" s="84">
        <v>1273912</v>
      </c>
      <c r="AR91" s="84">
        <v>9098251</v>
      </c>
      <c r="AS91" s="84">
        <v>27353727</v>
      </c>
      <c r="AT91" s="84">
        <v>4186623</v>
      </c>
      <c r="AU91" s="84">
        <v>11614364</v>
      </c>
      <c r="AV91" s="84">
        <v>5570857</v>
      </c>
      <c r="AW91" s="84">
        <v>16012560</v>
      </c>
      <c r="AX91" s="84">
        <v>7747324</v>
      </c>
      <c r="AY91" s="84">
        <v>25112259</v>
      </c>
      <c r="AZ91" s="84">
        <v>5299367</v>
      </c>
      <c r="BA91" s="84">
        <v>16401479</v>
      </c>
      <c r="BB91" s="84">
        <v>14196189</v>
      </c>
      <c r="BC91" s="84">
        <v>39628147</v>
      </c>
      <c r="BD91" s="84">
        <v>12756846</v>
      </c>
      <c r="BE91" s="84">
        <v>36001202</v>
      </c>
      <c r="BF91" s="84">
        <v>66866127</v>
      </c>
      <c r="BG91" s="84">
        <v>192735775</v>
      </c>
      <c r="BH91" s="84">
        <v>28390078</v>
      </c>
      <c r="BI91" s="84">
        <v>80780127</v>
      </c>
      <c r="BJ91" s="84">
        <v>35917628</v>
      </c>
      <c r="BK91" s="84">
        <v>99016416</v>
      </c>
      <c r="BL91" s="84">
        <v>4653706</v>
      </c>
      <c r="BM91" s="84">
        <v>11486126</v>
      </c>
      <c r="BN91" s="73">
        <f>SUM(B91+D91+F91+H91+J91+L91+N91+P91+R91+T91+V91+X91+Z91+AB91+AD91+AF91+AH91+AJ91+AL91+AN91+AP91+AR91+AT91+AV91+AX91+AZ91+BB91+BD91+BF91+BH91+BJ91+BL91)</f>
        <v>363762506.78421891</v>
      </c>
      <c r="BO91" s="73">
        <f>SUM(C91+E91+G91+I91+K91+M91+O91+Q91+S91+U91+W91+Y91+AA91+AC91+AE91+AG91+AI91+AK91+AM91+AO91+AQ91+AS91+AU91+AW91+AY91+BA91+BC91+BE91+BG91+BI91+BK91+BM91)</f>
        <v>1022550951.4615641</v>
      </c>
    </row>
  </sheetData>
  <mergeCells count="330">
    <mergeCell ref="BN85:BO85"/>
    <mergeCell ref="AT85:AU85"/>
    <mergeCell ref="AV85:AW85"/>
    <mergeCell ref="AX85:AY85"/>
    <mergeCell ref="AZ85:BA85"/>
    <mergeCell ref="BB85:BC85"/>
    <mergeCell ref="BD85:BE85"/>
    <mergeCell ref="Z85:AA85"/>
    <mergeCell ref="AB85:AC85"/>
    <mergeCell ref="AD85:AE85"/>
    <mergeCell ref="AF85:AG85"/>
    <mergeCell ref="BF85:BG85"/>
    <mergeCell ref="BH85:BI85"/>
    <mergeCell ref="BJ85:BK85"/>
    <mergeCell ref="BL85:BM85"/>
    <mergeCell ref="L85:M85"/>
    <mergeCell ref="N85:O85"/>
    <mergeCell ref="P85:Q85"/>
    <mergeCell ref="R85:S85"/>
    <mergeCell ref="T85:U85"/>
    <mergeCell ref="V85:W85"/>
    <mergeCell ref="BH76:BI76"/>
    <mergeCell ref="BJ76:BK76"/>
    <mergeCell ref="BL76:BM76"/>
    <mergeCell ref="AH76:AI76"/>
    <mergeCell ref="N76:O76"/>
    <mergeCell ref="P76:Q76"/>
    <mergeCell ref="R76:S76"/>
    <mergeCell ref="T76:U76"/>
    <mergeCell ref="V76:W76"/>
    <mergeCell ref="AH85:AI85"/>
    <mergeCell ref="AJ85:AK85"/>
    <mergeCell ref="AL85:AM85"/>
    <mergeCell ref="AN85:AO85"/>
    <mergeCell ref="AP85:AQ85"/>
    <mergeCell ref="AR85:AS85"/>
    <mergeCell ref="X85:Y85"/>
    <mergeCell ref="BN76:BO76"/>
    <mergeCell ref="B85:C85"/>
    <mergeCell ref="D85:E85"/>
    <mergeCell ref="F85:G85"/>
    <mergeCell ref="H85:I85"/>
    <mergeCell ref="J85:K85"/>
    <mergeCell ref="AV76:AW76"/>
    <mergeCell ref="AX76:AY76"/>
    <mergeCell ref="AZ76:BA76"/>
    <mergeCell ref="BB76:BC76"/>
    <mergeCell ref="BD76:BE76"/>
    <mergeCell ref="BF76:BG76"/>
    <mergeCell ref="AJ76:AK76"/>
    <mergeCell ref="AL76:AM76"/>
    <mergeCell ref="AN76:AO76"/>
    <mergeCell ref="AP76:AQ76"/>
    <mergeCell ref="AR76:AS76"/>
    <mergeCell ref="AT76:AU76"/>
    <mergeCell ref="X76:Y76"/>
    <mergeCell ref="Z76:AA76"/>
    <mergeCell ref="AB76:AC76"/>
    <mergeCell ref="AD76:AE76"/>
    <mergeCell ref="AF76:AG76"/>
    <mergeCell ref="B76:C76"/>
    <mergeCell ref="D76:E76"/>
    <mergeCell ref="F76:G76"/>
    <mergeCell ref="H76:I76"/>
    <mergeCell ref="J76:K76"/>
    <mergeCell ref="L76:M76"/>
    <mergeCell ref="BF67:BG67"/>
    <mergeCell ref="BH67:BI67"/>
    <mergeCell ref="BJ67:BK67"/>
    <mergeCell ref="AH67:AI67"/>
    <mergeCell ref="AJ67:AK67"/>
    <mergeCell ref="AL67:AM67"/>
    <mergeCell ref="AN67:AO67"/>
    <mergeCell ref="AP67:AQ67"/>
    <mergeCell ref="AR67:AS67"/>
    <mergeCell ref="X67:Y67"/>
    <mergeCell ref="Z67:AA67"/>
    <mergeCell ref="AB67:AC67"/>
    <mergeCell ref="AD67:AE67"/>
    <mergeCell ref="AF67:AG67"/>
    <mergeCell ref="L67:M67"/>
    <mergeCell ref="N67:O67"/>
    <mergeCell ref="P67:Q67"/>
    <mergeCell ref="AT67:AU67"/>
    <mergeCell ref="AV67:AW67"/>
    <mergeCell ref="AX67:AY67"/>
    <mergeCell ref="AZ67:BA67"/>
    <mergeCell ref="BB67:BC67"/>
    <mergeCell ref="BD67:BE67"/>
    <mergeCell ref="R67:S67"/>
    <mergeCell ref="T67:U67"/>
    <mergeCell ref="V67:W67"/>
    <mergeCell ref="BL58:BM58"/>
    <mergeCell ref="BN58:BO58"/>
    <mergeCell ref="BD58:BE58"/>
    <mergeCell ref="BF58:BG58"/>
    <mergeCell ref="BL67:BM67"/>
    <mergeCell ref="BN67:BO67"/>
    <mergeCell ref="V58:W58"/>
    <mergeCell ref="BH58:BI58"/>
    <mergeCell ref="BJ58:BK58"/>
    <mergeCell ref="B67:C67"/>
    <mergeCell ref="D67:E67"/>
    <mergeCell ref="F67:G67"/>
    <mergeCell ref="H67:I67"/>
    <mergeCell ref="J67:K67"/>
    <mergeCell ref="AV58:AW58"/>
    <mergeCell ref="AX58:AY58"/>
    <mergeCell ref="AZ58:BA58"/>
    <mergeCell ref="BB58:BC58"/>
    <mergeCell ref="AJ58:AK58"/>
    <mergeCell ref="AL58:AM58"/>
    <mergeCell ref="AN58:AO58"/>
    <mergeCell ref="AP58:AQ58"/>
    <mergeCell ref="AR58:AS58"/>
    <mergeCell ref="AT58:AU58"/>
    <mergeCell ref="X58:Y58"/>
    <mergeCell ref="Z58:AA58"/>
    <mergeCell ref="AB58:AC58"/>
    <mergeCell ref="AF58:AG58"/>
    <mergeCell ref="AH58:AI58"/>
    <mergeCell ref="N58:O58"/>
    <mergeCell ref="P58:Q58"/>
    <mergeCell ref="R58:S58"/>
    <mergeCell ref="T58:U58"/>
    <mergeCell ref="B58:C58"/>
    <mergeCell ref="D58:E58"/>
    <mergeCell ref="F58:G58"/>
    <mergeCell ref="H58:I58"/>
    <mergeCell ref="J58:K58"/>
    <mergeCell ref="L58:M58"/>
    <mergeCell ref="BF49:BG49"/>
    <mergeCell ref="BH49:BI49"/>
    <mergeCell ref="BJ49:BK49"/>
    <mergeCell ref="AH49:AI49"/>
    <mergeCell ref="AJ49:AK49"/>
    <mergeCell ref="AL49:AM49"/>
    <mergeCell ref="AN49:AO49"/>
    <mergeCell ref="AP49:AQ49"/>
    <mergeCell ref="AR49:AS49"/>
    <mergeCell ref="X49:Y49"/>
    <mergeCell ref="Z49:AA49"/>
    <mergeCell ref="AB49:AC49"/>
    <mergeCell ref="AD49:AE49"/>
    <mergeCell ref="AF49:AG49"/>
    <mergeCell ref="L49:M49"/>
    <mergeCell ref="N49:O49"/>
    <mergeCell ref="P49:Q49"/>
    <mergeCell ref="AD58:AE58"/>
    <mergeCell ref="AT49:AU49"/>
    <mergeCell ref="AV49:AW49"/>
    <mergeCell ref="AX49:AY49"/>
    <mergeCell ref="AZ49:BA49"/>
    <mergeCell ref="BB49:BC49"/>
    <mergeCell ref="BD49:BE49"/>
    <mergeCell ref="R49:S49"/>
    <mergeCell ref="T49:U49"/>
    <mergeCell ref="V49:W49"/>
    <mergeCell ref="BL40:BM40"/>
    <mergeCell ref="BN40:BO40"/>
    <mergeCell ref="B49:C49"/>
    <mergeCell ref="D49:E49"/>
    <mergeCell ref="F49:G49"/>
    <mergeCell ref="H49:I49"/>
    <mergeCell ref="J49:K49"/>
    <mergeCell ref="AV40:AW40"/>
    <mergeCell ref="AX40:AY40"/>
    <mergeCell ref="AZ40:BA40"/>
    <mergeCell ref="BB40:BC40"/>
    <mergeCell ref="BD40:BE40"/>
    <mergeCell ref="BF40:BG40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BL49:BM49"/>
    <mergeCell ref="BN49:BO49"/>
    <mergeCell ref="AF40:AG40"/>
    <mergeCell ref="AH40:AI40"/>
    <mergeCell ref="N40:O40"/>
    <mergeCell ref="P40:Q40"/>
    <mergeCell ref="R40:S40"/>
    <mergeCell ref="T40:U40"/>
    <mergeCell ref="V40:W40"/>
    <mergeCell ref="BH40:BI40"/>
    <mergeCell ref="BJ40:BK40"/>
    <mergeCell ref="B40:C40"/>
    <mergeCell ref="D40:E40"/>
    <mergeCell ref="F40:G40"/>
    <mergeCell ref="H40:I40"/>
    <mergeCell ref="J40:K40"/>
    <mergeCell ref="L40:M40"/>
    <mergeCell ref="BF31:BG31"/>
    <mergeCell ref="BH31:BI31"/>
    <mergeCell ref="BJ31:BK31"/>
    <mergeCell ref="AH31:AI31"/>
    <mergeCell ref="AJ31:AK31"/>
    <mergeCell ref="AL31:AM31"/>
    <mergeCell ref="AN31:AO31"/>
    <mergeCell ref="AP31:AQ31"/>
    <mergeCell ref="AR31:AS31"/>
    <mergeCell ref="X31:Y31"/>
    <mergeCell ref="Z31:AA31"/>
    <mergeCell ref="AB31:AC31"/>
    <mergeCell ref="AD31:AE31"/>
    <mergeCell ref="AF31:AG31"/>
    <mergeCell ref="L31:M31"/>
    <mergeCell ref="N31:O31"/>
    <mergeCell ref="P31:Q31"/>
    <mergeCell ref="AD40:AE40"/>
    <mergeCell ref="AT31:AU31"/>
    <mergeCell ref="AV31:AW31"/>
    <mergeCell ref="AX31:AY31"/>
    <mergeCell ref="AZ31:BA31"/>
    <mergeCell ref="BB31:BC31"/>
    <mergeCell ref="BD31:BE31"/>
    <mergeCell ref="R31:S31"/>
    <mergeCell ref="T31:U31"/>
    <mergeCell ref="V31:W31"/>
    <mergeCell ref="BL22:BM22"/>
    <mergeCell ref="BN22:BO22"/>
    <mergeCell ref="B31:C31"/>
    <mergeCell ref="D31:E31"/>
    <mergeCell ref="F31:G31"/>
    <mergeCell ref="H31:I31"/>
    <mergeCell ref="J31:K31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BL31:BM31"/>
    <mergeCell ref="BN31:BO31"/>
    <mergeCell ref="AF22:AG22"/>
    <mergeCell ref="AH22:AI22"/>
    <mergeCell ref="N22:O22"/>
    <mergeCell ref="P22:Q22"/>
    <mergeCell ref="R22:S22"/>
    <mergeCell ref="T22:U22"/>
    <mergeCell ref="V22:W22"/>
    <mergeCell ref="BH22:BI22"/>
    <mergeCell ref="BJ22:BK22"/>
    <mergeCell ref="B22:C22"/>
    <mergeCell ref="D22:E22"/>
    <mergeCell ref="F22:G22"/>
    <mergeCell ref="H22:I22"/>
    <mergeCell ref="J22:K22"/>
    <mergeCell ref="L22:M22"/>
    <mergeCell ref="BF13:BG13"/>
    <mergeCell ref="BH13:BI13"/>
    <mergeCell ref="BJ13:BK13"/>
    <mergeCell ref="AH13:AI13"/>
    <mergeCell ref="AJ13:AK13"/>
    <mergeCell ref="AL13:AM13"/>
    <mergeCell ref="AN13:AO13"/>
    <mergeCell ref="AP13:AQ13"/>
    <mergeCell ref="AR13:AS13"/>
    <mergeCell ref="X13:Y13"/>
    <mergeCell ref="Z13:AA13"/>
    <mergeCell ref="AB13:AC13"/>
    <mergeCell ref="AD13:AE13"/>
    <mergeCell ref="AF13:AG13"/>
    <mergeCell ref="L13:M13"/>
    <mergeCell ref="N13:O13"/>
    <mergeCell ref="P13:Q13"/>
    <mergeCell ref="AD22:AE22"/>
    <mergeCell ref="BL13:BM13"/>
    <mergeCell ref="BN13:BO13"/>
    <mergeCell ref="AT13:AU13"/>
    <mergeCell ref="AV13:AW13"/>
    <mergeCell ref="AX13:AY13"/>
    <mergeCell ref="AZ13:BA13"/>
    <mergeCell ref="BB13:BC13"/>
    <mergeCell ref="BD13:BE13"/>
    <mergeCell ref="R13:S13"/>
    <mergeCell ref="T13:U13"/>
    <mergeCell ref="V13:W13"/>
    <mergeCell ref="BH4:BI4"/>
    <mergeCell ref="BJ4:BK4"/>
    <mergeCell ref="BL4:BM4"/>
    <mergeCell ref="BN4:BO4"/>
    <mergeCell ref="B13:C13"/>
    <mergeCell ref="D13:E13"/>
    <mergeCell ref="F13:G13"/>
    <mergeCell ref="H13:I13"/>
    <mergeCell ref="J13:K13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6" customWidth="1"/>
    <col min="2" max="67" width="16" style="76" customWidth="1"/>
    <col min="68" max="16384" width="9.140625" style="76"/>
  </cols>
  <sheetData>
    <row r="1" spans="1:67" ht="18.75" x14ac:dyDescent="0.3">
      <c r="A1" s="4" t="s">
        <v>227</v>
      </c>
    </row>
    <row r="2" spans="1:67" x14ac:dyDescent="0.25">
      <c r="A2" s="13" t="s">
        <v>34</v>
      </c>
    </row>
    <row r="3" spans="1:67" x14ac:dyDescent="0.25">
      <c r="A3" s="28" t="s">
        <v>216</v>
      </c>
    </row>
    <row r="4" spans="1:67" x14ac:dyDescent="0.25">
      <c r="A4" s="3" t="s">
        <v>0</v>
      </c>
      <c r="B4" s="103" t="s">
        <v>1</v>
      </c>
      <c r="C4" s="104"/>
      <c r="D4" s="103" t="s">
        <v>282</v>
      </c>
      <c r="E4" s="104"/>
      <c r="F4" s="103" t="s">
        <v>2</v>
      </c>
      <c r="G4" s="104"/>
      <c r="H4" s="103" t="s">
        <v>3</v>
      </c>
      <c r="I4" s="104"/>
      <c r="J4" s="103" t="s">
        <v>4</v>
      </c>
      <c r="K4" s="104"/>
      <c r="L4" s="103" t="s">
        <v>283</v>
      </c>
      <c r="M4" s="104"/>
      <c r="N4" s="103" t="s">
        <v>6</v>
      </c>
      <c r="O4" s="104"/>
      <c r="P4" s="103" t="s">
        <v>5</v>
      </c>
      <c r="Q4" s="104"/>
      <c r="R4" s="103" t="s">
        <v>7</v>
      </c>
      <c r="S4" s="104"/>
      <c r="T4" s="103" t="s">
        <v>284</v>
      </c>
      <c r="U4" s="104"/>
      <c r="V4" s="103" t="s">
        <v>8</v>
      </c>
      <c r="W4" s="104"/>
      <c r="X4" s="103" t="s">
        <v>9</v>
      </c>
      <c r="Y4" s="104"/>
      <c r="Z4" s="103" t="s">
        <v>10</v>
      </c>
      <c r="AA4" s="104"/>
      <c r="AB4" s="103" t="s">
        <v>304</v>
      </c>
      <c r="AC4" s="104"/>
      <c r="AD4" s="103" t="s">
        <v>11</v>
      </c>
      <c r="AE4" s="104"/>
      <c r="AF4" s="103" t="s">
        <v>12</v>
      </c>
      <c r="AG4" s="104"/>
      <c r="AH4" s="103" t="s">
        <v>285</v>
      </c>
      <c r="AI4" s="104"/>
      <c r="AJ4" s="103" t="s">
        <v>290</v>
      </c>
      <c r="AK4" s="104"/>
      <c r="AL4" s="103" t="s">
        <v>13</v>
      </c>
      <c r="AM4" s="104"/>
      <c r="AN4" s="103" t="s">
        <v>286</v>
      </c>
      <c r="AO4" s="104"/>
      <c r="AP4" s="103" t="s">
        <v>287</v>
      </c>
      <c r="AQ4" s="104"/>
      <c r="AR4" s="103" t="s">
        <v>291</v>
      </c>
      <c r="AS4" s="104"/>
      <c r="AT4" s="103" t="s">
        <v>305</v>
      </c>
      <c r="AU4" s="104"/>
      <c r="AV4" s="103" t="s">
        <v>14</v>
      </c>
      <c r="AW4" s="104"/>
      <c r="AX4" s="103" t="s">
        <v>15</v>
      </c>
      <c r="AY4" s="104"/>
      <c r="AZ4" s="103" t="s">
        <v>16</v>
      </c>
      <c r="BA4" s="104"/>
      <c r="BB4" s="103" t="s">
        <v>17</v>
      </c>
      <c r="BC4" s="104"/>
      <c r="BD4" s="103" t="s">
        <v>18</v>
      </c>
      <c r="BE4" s="104"/>
      <c r="BF4" s="103" t="s">
        <v>288</v>
      </c>
      <c r="BG4" s="104"/>
      <c r="BH4" s="103" t="s">
        <v>289</v>
      </c>
      <c r="BI4" s="104"/>
      <c r="BJ4" s="103" t="s">
        <v>19</v>
      </c>
      <c r="BK4" s="104"/>
      <c r="BL4" s="103" t="s">
        <v>20</v>
      </c>
      <c r="BM4" s="104"/>
      <c r="BN4" s="105" t="s">
        <v>21</v>
      </c>
      <c r="BO4" s="106"/>
    </row>
    <row r="5" spans="1:67" ht="30" x14ac:dyDescent="0.25">
      <c r="A5" s="3"/>
      <c r="B5" s="57" t="s">
        <v>293</v>
      </c>
      <c r="C5" s="58" t="s">
        <v>294</v>
      </c>
      <c r="D5" s="57" t="s">
        <v>293</v>
      </c>
      <c r="E5" s="58" t="s">
        <v>294</v>
      </c>
      <c r="F5" s="57" t="s">
        <v>293</v>
      </c>
      <c r="G5" s="58" t="s">
        <v>294</v>
      </c>
      <c r="H5" s="57" t="s">
        <v>293</v>
      </c>
      <c r="I5" s="58" t="s">
        <v>294</v>
      </c>
      <c r="J5" s="57" t="s">
        <v>293</v>
      </c>
      <c r="K5" s="58" t="s">
        <v>294</v>
      </c>
      <c r="L5" s="57" t="s">
        <v>293</v>
      </c>
      <c r="M5" s="58" t="s">
        <v>294</v>
      </c>
      <c r="N5" s="57" t="s">
        <v>293</v>
      </c>
      <c r="O5" s="58" t="s">
        <v>294</v>
      </c>
      <c r="P5" s="57" t="s">
        <v>293</v>
      </c>
      <c r="Q5" s="58" t="s">
        <v>294</v>
      </c>
      <c r="R5" s="57" t="s">
        <v>293</v>
      </c>
      <c r="S5" s="58" t="s">
        <v>294</v>
      </c>
      <c r="T5" s="57" t="s">
        <v>293</v>
      </c>
      <c r="U5" s="58" t="s">
        <v>294</v>
      </c>
      <c r="V5" s="57" t="s">
        <v>293</v>
      </c>
      <c r="W5" s="58" t="s">
        <v>294</v>
      </c>
      <c r="X5" s="57" t="s">
        <v>293</v>
      </c>
      <c r="Y5" s="58" t="s">
        <v>294</v>
      </c>
      <c r="Z5" s="57" t="s">
        <v>293</v>
      </c>
      <c r="AA5" s="58" t="s">
        <v>294</v>
      </c>
      <c r="AB5" s="57" t="s">
        <v>293</v>
      </c>
      <c r="AC5" s="58" t="s">
        <v>294</v>
      </c>
      <c r="AD5" s="57" t="s">
        <v>293</v>
      </c>
      <c r="AE5" s="58" t="s">
        <v>294</v>
      </c>
      <c r="AF5" s="57" t="s">
        <v>293</v>
      </c>
      <c r="AG5" s="58" t="s">
        <v>294</v>
      </c>
      <c r="AH5" s="57" t="s">
        <v>293</v>
      </c>
      <c r="AI5" s="58" t="s">
        <v>294</v>
      </c>
      <c r="AJ5" s="57" t="s">
        <v>293</v>
      </c>
      <c r="AK5" s="58" t="s">
        <v>294</v>
      </c>
      <c r="AL5" s="57" t="s">
        <v>293</v>
      </c>
      <c r="AM5" s="58" t="s">
        <v>294</v>
      </c>
      <c r="AN5" s="57" t="s">
        <v>293</v>
      </c>
      <c r="AO5" s="58" t="s">
        <v>294</v>
      </c>
      <c r="AP5" s="57" t="s">
        <v>293</v>
      </c>
      <c r="AQ5" s="58" t="s">
        <v>294</v>
      </c>
      <c r="AR5" s="57" t="s">
        <v>293</v>
      </c>
      <c r="AS5" s="58" t="s">
        <v>294</v>
      </c>
      <c r="AT5" s="57" t="s">
        <v>293</v>
      </c>
      <c r="AU5" s="58" t="s">
        <v>294</v>
      </c>
      <c r="AV5" s="57" t="s">
        <v>293</v>
      </c>
      <c r="AW5" s="58" t="s">
        <v>294</v>
      </c>
      <c r="AX5" s="57" t="s">
        <v>293</v>
      </c>
      <c r="AY5" s="58" t="s">
        <v>294</v>
      </c>
      <c r="AZ5" s="57" t="s">
        <v>293</v>
      </c>
      <c r="BA5" s="58" t="s">
        <v>294</v>
      </c>
      <c r="BB5" s="57" t="s">
        <v>293</v>
      </c>
      <c r="BC5" s="58" t="s">
        <v>294</v>
      </c>
      <c r="BD5" s="57" t="s">
        <v>293</v>
      </c>
      <c r="BE5" s="58" t="s">
        <v>294</v>
      </c>
      <c r="BF5" s="57" t="s">
        <v>293</v>
      </c>
      <c r="BG5" s="58" t="s">
        <v>294</v>
      </c>
      <c r="BH5" s="57" t="s">
        <v>293</v>
      </c>
      <c r="BI5" s="58" t="s">
        <v>294</v>
      </c>
      <c r="BJ5" s="57" t="s">
        <v>293</v>
      </c>
      <c r="BK5" s="58" t="s">
        <v>294</v>
      </c>
      <c r="BL5" s="57" t="s">
        <v>293</v>
      </c>
      <c r="BM5" s="58" t="s">
        <v>294</v>
      </c>
      <c r="BN5" s="57" t="s">
        <v>293</v>
      </c>
      <c r="BO5" s="58" t="s">
        <v>294</v>
      </c>
    </row>
    <row r="6" spans="1:67" x14ac:dyDescent="0.25">
      <c r="A6" s="21" t="s">
        <v>228</v>
      </c>
      <c r="B6" s="84"/>
      <c r="C6" s="84"/>
      <c r="D6" s="84"/>
      <c r="E6" s="84"/>
      <c r="F6" s="84"/>
      <c r="G6" s="84"/>
      <c r="H6" s="84">
        <v>634420</v>
      </c>
      <c r="I6" s="84">
        <v>2567722</v>
      </c>
      <c r="J6" s="84">
        <v>200878</v>
      </c>
      <c r="K6" s="84">
        <v>515560</v>
      </c>
      <c r="L6" s="84">
        <v>116520</v>
      </c>
      <c r="M6" s="84">
        <v>284392</v>
      </c>
      <c r="N6" s="84"/>
      <c r="O6" s="84"/>
      <c r="P6" s="84">
        <v>1604</v>
      </c>
      <c r="Q6" s="84">
        <v>1712</v>
      </c>
      <c r="R6" s="84">
        <v>228808</v>
      </c>
      <c r="S6" s="84">
        <v>693954</v>
      </c>
      <c r="T6" s="84">
        <v>7616</v>
      </c>
      <c r="U6" s="84">
        <v>26754.98</v>
      </c>
      <c r="V6" s="84">
        <v>639167</v>
      </c>
      <c r="W6" s="84">
        <v>2527707</v>
      </c>
      <c r="X6" s="84">
        <v>1619167</v>
      </c>
      <c r="Y6" s="84">
        <v>4468321</v>
      </c>
      <c r="Z6" s="84">
        <v>504872</v>
      </c>
      <c r="AA6" s="84">
        <v>1128547</v>
      </c>
      <c r="AB6" s="84">
        <v>19956</v>
      </c>
      <c r="AC6" s="84">
        <v>162746</v>
      </c>
      <c r="AD6" s="84">
        <v>78413</v>
      </c>
      <c r="AE6" s="84">
        <v>240986</v>
      </c>
      <c r="AF6" s="84">
        <v>52372</v>
      </c>
      <c r="AG6" s="84">
        <v>190177</v>
      </c>
      <c r="AH6" s="84"/>
      <c r="AI6" s="84"/>
      <c r="AJ6" s="84"/>
      <c r="AK6" s="84"/>
      <c r="AL6" s="84">
        <v>1151948.8680000002</v>
      </c>
      <c r="AM6" s="84">
        <v>3554938.415</v>
      </c>
      <c r="AN6" s="84">
        <v>656</v>
      </c>
      <c r="AO6" s="84">
        <v>1367</v>
      </c>
      <c r="AP6" s="84">
        <v>618</v>
      </c>
      <c r="AQ6" s="84">
        <v>3950</v>
      </c>
      <c r="AR6" s="84">
        <v>384796</v>
      </c>
      <c r="AS6" s="84">
        <v>1978075</v>
      </c>
      <c r="AT6" s="84"/>
      <c r="AU6" s="84"/>
      <c r="AV6" s="84">
        <v>202031</v>
      </c>
      <c r="AW6" s="84">
        <v>596369</v>
      </c>
      <c r="AX6" s="84">
        <v>768710</v>
      </c>
      <c r="AY6" s="84">
        <v>1826151</v>
      </c>
      <c r="AZ6" s="84">
        <v>5927</v>
      </c>
      <c r="BA6" s="84">
        <v>39426</v>
      </c>
      <c r="BB6" s="84"/>
      <c r="BC6" s="84"/>
      <c r="BD6" s="84">
        <v>746074</v>
      </c>
      <c r="BE6" s="84">
        <v>2121766</v>
      </c>
      <c r="BF6" s="84">
        <v>4897391</v>
      </c>
      <c r="BG6" s="84">
        <v>12512467</v>
      </c>
      <c r="BH6" s="84">
        <v>2136124</v>
      </c>
      <c r="BI6" s="84">
        <v>4954135</v>
      </c>
      <c r="BJ6" s="84">
        <v>2348518</v>
      </c>
      <c r="BK6" s="84">
        <v>5248026</v>
      </c>
      <c r="BL6" s="84">
        <v>97990</v>
      </c>
      <c r="BM6" s="84">
        <v>465277</v>
      </c>
      <c r="BN6" s="73">
        <f t="shared" ref="BN6:BN12" si="0">SUM(B6+D6+F6+H6+J6+L6+N6+P6+R6+T6+V6+X6+Z6+AB6+AD6+AF6+AH6+AJ6+AL6+AN6+AP6+AR6+AT6+AV6+AX6+AZ6+BB6+BD6+BF6+BH6+BJ6+BL6)</f>
        <v>16844576.868000001</v>
      </c>
      <c r="BO6" s="73">
        <f t="shared" ref="BO6:BO12" si="1">SUM(C6+E6+G6+I6+K6+M6+O6+Q6+S6+U6+W6+Y6+AA6+AC6+AE6+AG6+AI6+AK6+AM6+AO6+AQ6+AS6+AU6+AW6+AY6+BA6+BC6+BE6+BG6+BI6+BK6+BM6)</f>
        <v>46110526.394999996</v>
      </c>
    </row>
    <row r="7" spans="1:67" x14ac:dyDescent="0.25">
      <c r="A7" s="21" t="s">
        <v>279</v>
      </c>
      <c r="B7" s="84">
        <v>7</v>
      </c>
      <c r="C7" s="84">
        <v>7</v>
      </c>
      <c r="D7" s="84"/>
      <c r="E7" s="84"/>
      <c r="F7" s="84"/>
      <c r="G7" s="84"/>
      <c r="H7" s="84">
        <v>-14577</v>
      </c>
      <c r="I7" s="84">
        <v>2228770</v>
      </c>
      <c r="J7" s="84">
        <v>8296</v>
      </c>
      <c r="K7" s="84">
        <v>463754</v>
      </c>
      <c r="L7" s="84">
        <v>490837</v>
      </c>
      <c r="M7" s="84">
        <v>490837</v>
      </c>
      <c r="N7" s="84"/>
      <c r="O7" s="84"/>
      <c r="P7" s="84">
        <v>81401</v>
      </c>
      <c r="Q7" s="84">
        <v>81401</v>
      </c>
      <c r="R7" s="84">
        <v>1052926</v>
      </c>
      <c r="S7" s="84">
        <v>1052926</v>
      </c>
      <c r="T7" s="84">
        <v>322417</v>
      </c>
      <c r="U7" s="84">
        <v>322417</v>
      </c>
      <c r="V7" s="84">
        <v>12538444</v>
      </c>
      <c r="W7" s="84">
        <v>12538444</v>
      </c>
      <c r="X7" s="84">
        <v>23564940</v>
      </c>
      <c r="Y7" s="84">
        <v>23564940</v>
      </c>
      <c r="Z7" s="84">
        <v>-55247</v>
      </c>
      <c r="AA7" s="84">
        <v>840550</v>
      </c>
      <c r="AB7" s="84">
        <v>82175</v>
      </c>
      <c r="AC7" s="84">
        <v>82175</v>
      </c>
      <c r="AD7" s="84">
        <v>635834</v>
      </c>
      <c r="AE7" s="84">
        <v>635834</v>
      </c>
      <c r="AF7" s="84">
        <v>2324329</v>
      </c>
      <c r="AG7" s="84">
        <v>2324329</v>
      </c>
      <c r="AH7" s="84"/>
      <c r="AI7" s="84"/>
      <c r="AJ7" s="84"/>
      <c r="AK7" s="84"/>
      <c r="AL7" s="84">
        <v>252216.73900000076</v>
      </c>
      <c r="AM7" s="84">
        <v>13468466.805000002</v>
      </c>
      <c r="AN7" s="84">
        <v>46858</v>
      </c>
      <c r="AO7" s="84">
        <v>46858</v>
      </c>
      <c r="AP7" s="84">
        <v>4997</v>
      </c>
      <c r="AQ7" s="84">
        <v>18173</v>
      </c>
      <c r="AR7" s="84">
        <v>1552086</v>
      </c>
      <c r="AS7" s="84">
        <v>1552086</v>
      </c>
      <c r="AT7" s="84"/>
      <c r="AU7" s="84"/>
      <c r="AV7" s="84">
        <v>-228456</v>
      </c>
      <c r="AW7" s="84">
        <v>2327413</v>
      </c>
      <c r="AX7" s="84">
        <v>1917573</v>
      </c>
      <c r="AY7" s="84">
        <v>1917573</v>
      </c>
      <c r="AZ7" s="84">
        <v>224457</v>
      </c>
      <c r="BA7" s="84">
        <v>224457</v>
      </c>
      <c r="BB7" s="84"/>
      <c r="BC7" s="84"/>
      <c r="BD7" s="84">
        <v>1340209</v>
      </c>
      <c r="BE7" s="84">
        <v>1340209</v>
      </c>
      <c r="BF7" s="84">
        <v>61345723</v>
      </c>
      <c r="BG7" s="84">
        <v>61345723</v>
      </c>
      <c r="BH7" s="84">
        <v>358377</v>
      </c>
      <c r="BI7" s="84">
        <v>26071994</v>
      </c>
      <c r="BJ7" s="84">
        <v>31885188</v>
      </c>
      <c r="BK7" s="84">
        <v>31885188</v>
      </c>
      <c r="BL7" s="84">
        <v>-27335</v>
      </c>
      <c r="BM7" s="84">
        <v>555255</v>
      </c>
      <c r="BN7" s="73">
        <f t="shared" si="0"/>
        <v>139703675.73899999</v>
      </c>
      <c r="BO7" s="73">
        <f t="shared" si="1"/>
        <v>185379779.80500001</v>
      </c>
    </row>
    <row r="8" spans="1:67" x14ac:dyDescent="0.25">
      <c r="A8" s="21" t="s">
        <v>278</v>
      </c>
      <c r="B8" s="84"/>
      <c r="C8" s="84"/>
      <c r="D8" s="84"/>
      <c r="E8" s="84"/>
      <c r="F8" s="84"/>
      <c r="G8" s="84"/>
      <c r="H8" s="84"/>
      <c r="I8" s="84">
        <v>1777548</v>
      </c>
      <c r="J8" s="84"/>
      <c r="K8" s="84">
        <v>338428</v>
      </c>
      <c r="L8" s="84">
        <v>450411</v>
      </c>
      <c r="M8" s="84">
        <v>286848</v>
      </c>
      <c r="N8" s="84"/>
      <c r="O8" s="84"/>
      <c r="P8" s="84">
        <v>51870</v>
      </c>
      <c r="Q8" s="84">
        <v>46660</v>
      </c>
      <c r="R8" s="84">
        <v>964220</v>
      </c>
      <c r="S8" s="84">
        <v>700302</v>
      </c>
      <c r="T8" s="84">
        <v>312716</v>
      </c>
      <c r="U8" s="84">
        <v>174730</v>
      </c>
      <c r="V8" s="84">
        <v>-11843778</v>
      </c>
      <c r="W8" s="84">
        <v>-10169564</v>
      </c>
      <c r="X8" s="84">
        <v>22258775</v>
      </c>
      <c r="Y8" s="84">
        <v>19458908</v>
      </c>
      <c r="Z8" s="84"/>
      <c r="AA8" s="84">
        <v>668345</v>
      </c>
      <c r="AB8" s="84">
        <v>75218</v>
      </c>
      <c r="AC8" s="84">
        <v>66041</v>
      </c>
      <c r="AD8" s="84">
        <v>502607</v>
      </c>
      <c r="AE8" s="84">
        <v>597496</v>
      </c>
      <c r="AF8" s="84">
        <v>-2277444</v>
      </c>
      <c r="AG8" s="84">
        <v>-1725286</v>
      </c>
      <c r="AH8" s="84"/>
      <c r="AI8" s="84"/>
      <c r="AJ8" s="84"/>
      <c r="AK8" s="84"/>
      <c r="AL8" s="84">
        <v>0</v>
      </c>
      <c r="AM8" s="84">
        <v>12381474.805</v>
      </c>
      <c r="AN8" s="84">
        <v>-43905</v>
      </c>
      <c r="AO8" s="84">
        <v>-34692</v>
      </c>
      <c r="AP8" s="84"/>
      <c r="AQ8" s="84">
        <v>5216</v>
      </c>
      <c r="AR8" s="84">
        <v>1481226</v>
      </c>
      <c r="AS8" s="84">
        <v>1051937</v>
      </c>
      <c r="AT8" s="84"/>
      <c r="AU8" s="84"/>
      <c r="AV8" s="84"/>
      <c r="AW8" s="84">
        <v>-2181107</v>
      </c>
      <c r="AX8" s="84">
        <v>1784266</v>
      </c>
      <c r="AY8" s="84">
        <v>1318931</v>
      </c>
      <c r="AZ8" s="84">
        <v>259698</v>
      </c>
      <c r="BA8" s="84">
        <v>150124</v>
      </c>
      <c r="BB8" s="84"/>
      <c r="BC8" s="84"/>
      <c r="BD8" s="84">
        <v>1293607</v>
      </c>
      <c r="BE8" s="84">
        <v>1026333</v>
      </c>
      <c r="BF8" s="84">
        <v>64382633</v>
      </c>
      <c r="BG8" s="84">
        <v>55799175</v>
      </c>
      <c r="BH8" s="84">
        <v>0</v>
      </c>
      <c r="BI8" s="84">
        <v>23824004</v>
      </c>
      <c r="BJ8" s="84">
        <v>33750560</v>
      </c>
      <c r="BK8" s="84">
        <v>28904513</v>
      </c>
      <c r="BL8" s="84"/>
      <c r="BM8" s="84">
        <v>366796</v>
      </c>
      <c r="BN8" s="73">
        <f t="shared" si="0"/>
        <v>113402680</v>
      </c>
      <c r="BO8" s="73">
        <f t="shared" si="1"/>
        <v>134833160.80500001</v>
      </c>
    </row>
    <row r="9" spans="1:67" x14ac:dyDescent="0.25">
      <c r="A9" s="21" t="s">
        <v>281</v>
      </c>
      <c r="B9" s="84"/>
      <c r="C9" s="84"/>
      <c r="D9" s="84"/>
      <c r="E9" s="84"/>
      <c r="F9" s="84"/>
      <c r="G9" s="84"/>
      <c r="H9" s="84">
        <v>619843</v>
      </c>
      <c r="I9" s="84">
        <v>3018944</v>
      </c>
      <c r="J9" s="84"/>
      <c r="K9" s="84"/>
      <c r="L9" s="84">
        <v>156946</v>
      </c>
      <c r="M9" s="84">
        <v>488381</v>
      </c>
      <c r="N9" s="84"/>
      <c r="O9" s="84"/>
      <c r="P9" s="84">
        <v>31135</v>
      </c>
      <c r="Q9" s="84">
        <v>36453</v>
      </c>
      <c r="R9" s="84"/>
      <c r="S9" s="84"/>
      <c r="T9" s="84"/>
      <c r="U9" s="84"/>
      <c r="V9" s="84">
        <v>1333834</v>
      </c>
      <c r="W9" s="84">
        <v>4896588</v>
      </c>
      <c r="X9" s="84">
        <v>2925332</v>
      </c>
      <c r="Y9" s="84">
        <v>8574353</v>
      </c>
      <c r="Z9" s="84">
        <v>449625</v>
      </c>
      <c r="AA9" s="84">
        <v>1300752</v>
      </c>
      <c r="AB9" s="84">
        <v>26913</v>
      </c>
      <c r="AC9" s="84">
        <v>178880</v>
      </c>
      <c r="AD9" s="84">
        <v>211640</v>
      </c>
      <c r="AE9" s="84">
        <v>279324</v>
      </c>
      <c r="AF9" s="84">
        <v>99257</v>
      </c>
      <c r="AG9" s="84">
        <v>789220</v>
      </c>
      <c r="AH9" s="84"/>
      <c r="AI9" s="84"/>
      <c r="AJ9" s="84"/>
      <c r="AK9" s="84"/>
      <c r="AL9" s="84"/>
      <c r="AM9" s="84"/>
      <c r="AN9" s="84">
        <v>3609</v>
      </c>
      <c r="AO9" s="84">
        <v>13534</v>
      </c>
      <c r="AP9" s="84">
        <v>5614</v>
      </c>
      <c r="AQ9" s="84">
        <v>16907</v>
      </c>
      <c r="AR9" s="84"/>
      <c r="AS9" s="84"/>
      <c r="AT9" s="84"/>
      <c r="AU9" s="84"/>
      <c r="AV9" s="84">
        <v>-26425</v>
      </c>
      <c r="AW9" s="84">
        <v>742676</v>
      </c>
      <c r="AX9" s="84"/>
      <c r="AY9" s="84"/>
      <c r="AZ9" s="84"/>
      <c r="BA9" s="84"/>
      <c r="BB9" s="84"/>
      <c r="BC9" s="84"/>
      <c r="BD9" s="84">
        <v>792676</v>
      </c>
      <c r="BE9" s="84">
        <v>2435642</v>
      </c>
      <c r="BF9" s="84">
        <v>1860481</v>
      </c>
      <c r="BG9" s="84">
        <v>18059016</v>
      </c>
      <c r="BH9" s="84">
        <v>2494501</v>
      </c>
      <c r="BI9" s="84">
        <v>7202125</v>
      </c>
      <c r="BJ9" s="84">
        <v>483146</v>
      </c>
      <c r="BK9" s="84">
        <v>8228701</v>
      </c>
      <c r="BL9" s="84">
        <v>70655</v>
      </c>
      <c r="BM9" s="84">
        <v>653736</v>
      </c>
      <c r="BN9" s="73">
        <f t="shared" si="0"/>
        <v>11538782</v>
      </c>
      <c r="BO9" s="73">
        <f t="shared" si="1"/>
        <v>56915232</v>
      </c>
    </row>
    <row r="10" spans="1:67" x14ac:dyDescent="0.25">
      <c r="A10" s="21" t="s">
        <v>276</v>
      </c>
      <c r="B10" s="84"/>
      <c r="C10" s="84"/>
      <c r="D10" s="84"/>
      <c r="E10" s="84"/>
      <c r="F10" s="84"/>
      <c r="G10" s="84"/>
      <c r="H10" s="84">
        <v>124109</v>
      </c>
      <c r="I10" s="84">
        <v>165326</v>
      </c>
      <c r="J10" s="84">
        <v>45840</v>
      </c>
      <c r="K10" s="84">
        <v>99769</v>
      </c>
      <c r="L10" s="84">
        <v>731</v>
      </c>
      <c r="M10" s="84">
        <v>740</v>
      </c>
      <c r="N10" s="84"/>
      <c r="O10" s="84"/>
      <c r="P10" s="84">
        <v>188</v>
      </c>
      <c r="Q10" s="84">
        <v>262</v>
      </c>
      <c r="R10" s="84">
        <v>13442</v>
      </c>
      <c r="S10" s="84">
        <v>153811</v>
      </c>
      <c r="T10" s="84">
        <v>61639</v>
      </c>
      <c r="U10" s="84">
        <v>150476.31</v>
      </c>
      <c r="V10" s="84">
        <v>64585</v>
      </c>
      <c r="W10" s="84">
        <v>106463</v>
      </c>
      <c r="X10" s="84">
        <v>6230</v>
      </c>
      <c r="Y10" s="84">
        <v>79369</v>
      </c>
      <c r="Z10" s="84">
        <v>54631</v>
      </c>
      <c r="AA10" s="84">
        <v>161041</v>
      </c>
      <c r="AB10" s="84">
        <v>187</v>
      </c>
      <c r="AC10" s="84">
        <v>189</v>
      </c>
      <c r="AD10" s="84">
        <v>390</v>
      </c>
      <c r="AE10" s="84">
        <v>394</v>
      </c>
      <c r="AF10" s="84">
        <v>26534</v>
      </c>
      <c r="AG10" s="84">
        <v>109535</v>
      </c>
      <c r="AH10" s="84"/>
      <c r="AI10" s="84"/>
      <c r="AJ10" s="84"/>
      <c r="AK10" s="84"/>
      <c r="AL10" s="84">
        <v>195766.98600000003</v>
      </c>
      <c r="AM10" s="84">
        <v>666498.18500000006</v>
      </c>
      <c r="AN10" s="84">
        <v>38</v>
      </c>
      <c r="AO10" s="84">
        <v>38</v>
      </c>
      <c r="AP10" s="84">
        <v>19</v>
      </c>
      <c r="AQ10" s="84">
        <v>19</v>
      </c>
      <c r="AR10" s="84">
        <v>14577</v>
      </c>
      <c r="AS10" s="84">
        <v>134515</v>
      </c>
      <c r="AT10" s="84"/>
      <c r="AU10" s="84"/>
      <c r="AV10" s="84">
        <v>63397</v>
      </c>
      <c r="AW10" s="84">
        <v>86332</v>
      </c>
      <c r="AX10" s="84">
        <v>292</v>
      </c>
      <c r="AY10" s="84">
        <v>14071</v>
      </c>
      <c r="AZ10" s="84">
        <v>374</v>
      </c>
      <c r="BA10" s="84">
        <v>418</v>
      </c>
      <c r="BB10" s="84"/>
      <c r="BC10" s="84"/>
      <c r="BD10" s="84">
        <v>46911</v>
      </c>
      <c r="BE10" s="84">
        <v>218151</v>
      </c>
      <c r="BF10" s="84">
        <v>2675291</v>
      </c>
      <c r="BG10" s="84">
        <v>7952780</v>
      </c>
      <c r="BH10" s="84">
        <v>-38283</v>
      </c>
      <c r="BI10" s="84">
        <v>132680</v>
      </c>
      <c r="BJ10" s="84">
        <v>-113587</v>
      </c>
      <c r="BK10" s="84">
        <v>-76079</v>
      </c>
      <c r="BL10" s="84">
        <v>187</v>
      </c>
      <c r="BM10" s="84">
        <v>190</v>
      </c>
      <c r="BN10" s="73">
        <f t="shared" si="0"/>
        <v>3243488.986</v>
      </c>
      <c r="BO10" s="73">
        <f t="shared" si="1"/>
        <v>10156988.495000001</v>
      </c>
    </row>
    <row r="11" spans="1:67" x14ac:dyDescent="0.25">
      <c r="A11" s="21" t="s">
        <v>277</v>
      </c>
      <c r="B11" s="84"/>
      <c r="C11" s="84"/>
      <c r="D11" s="84"/>
      <c r="E11" s="84"/>
      <c r="F11" s="84"/>
      <c r="G11" s="84"/>
      <c r="H11" s="84">
        <v>419832</v>
      </c>
      <c r="I11" s="84">
        <v>1828113</v>
      </c>
      <c r="J11" s="84">
        <v>228410</v>
      </c>
      <c r="K11" s="84">
        <v>452702</v>
      </c>
      <c r="L11" s="84">
        <v>44559</v>
      </c>
      <c r="M11" s="84">
        <v>126441</v>
      </c>
      <c r="N11" s="84"/>
      <c r="O11" s="84"/>
      <c r="P11" s="84">
        <v>24624</v>
      </c>
      <c r="Q11" s="84">
        <v>19392</v>
      </c>
      <c r="R11" s="84">
        <v>154302</v>
      </c>
      <c r="S11" s="84">
        <v>577822</v>
      </c>
      <c r="T11" s="84">
        <v>65395</v>
      </c>
      <c r="U11" s="84">
        <v>160237.72</v>
      </c>
      <c r="V11" s="84">
        <f>-482154-10652950+10163870</f>
        <v>-971234</v>
      </c>
      <c r="W11" s="84">
        <f>-2122473-10652950+9089905</f>
        <v>-3685518</v>
      </c>
      <c r="X11" s="84">
        <v>1166114</v>
      </c>
      <c r="Y11" s="84">
        <v>3414363</v>
      </c>
      <c r="Z11" s="84">
        <v>427449</v>
      </c>
      <c r="AA11" s="84">
        <v>1005767</v>
      </c>
      <c r="AB11" s="84">
        <v>14658</v>
      </c>
      <c r="AC11" s="84">
        <v>145723</v>
      </c>
      <c r="AD11" s="84">
        <v>48698</v>
      </c>
      <c r="AE11" s="84">
        <v>174283</v>
      </c>
      <c r="AF11" s="84">
        <v>-56814</v>
      </c>
      <c r="AG11" s="84">
        <v>-238839</v>
      </c>
      <c r="AH11" s="84"/>
      <c r="AI11" s="84"/>
      <c r="AJ11" s="84"/>
      <c r="AK11" s="84"/>
      <c r="AL11" s="84">
        <v>239144.33499999996</v>
      </c>
      <c r="AM11" s="84">
        <v>933690.56900000002</v>
      </c>
      <c r="AN11" s="84">
        <v>-165</v>
      </c>
      <c r="AO11" s="84">
        <v>-428</v>
      </c>
      <c r="AP11" s="84">
        <v>471</v>
      </c>
      <c r="AQ11" s="84">
        <v>2833</v>
      </c>
      <c r="AR11" s="84">
        <v>228814</v>
      </c>
      <c r="AS11" s="84">
        <v>1625274</v>
      </c>
      <c r="AT11" s="84"/>
      <c r="AU11" s="84"/>
      <c r="AV11" s="84">
        <v>-206702</v>
      </c>
      <c r="AW11" s="84">
        <v>-548859</v>
      </c>
      <c r="AX11" s="84">
        <v>529713</v>
      </c>
      <c r="AY11" s="84">
        <v>1202848</v>
      </c>
      <c r="AZ11" s="84">
        <v>1297</v>
      </c>
      <c r="BA11" s="84">
        <v>24249</v>
      </c>
      <c r="BB11" s="84"/>
      <c r="BC11" s="84"/>
      <c r="BD11" s="84">
        <v>586505</v>
      </c>
      <c r="BE11" s="84">
        <v>1803930</v>
      </c>
      <c r="BF11" s="84">
        <v>3207339</v>
      </c>
      <c r="BG11" s="84">
        <v>7587663</v>
      </c>
      <c r="BH11" s="84">
        <v>1860454</v>
      </c>
      <c r="BI11" s="84">
        <v>3586400</v>
      </c>
      <c r="BJ11" s="84">
        <v>-502690</v>
      </c>
      <c r="BK11" s="84">
        <v>3768845</v>
      </c>
      <c r="BL11" s="84">
        <v>54952</v>
      </c>
      <c r="BM11" s="84">
        <v>311407</v>
      </c>
      <c r="BN11" s="73">
        <f t="shared" si="0"/>
        <v>7565125.335</v>
      </c>
      <c r="BO11" s="73">
        <f t="shared" si="1"/>
        <v>24278339.289000001</v>
      </c>
    </row>
    <row r="12" spans="1:67" x14ac:dyDescent="0.25">
      <c r="A12" s="21" t="s">
        <v>273</v>
      </c>
      <c r="B12" s="84">
        <v>7</v>
      </c>
      <c r="C12" s="84">
        <v>7</v>
      </c>
      <c r="D12" s="84"/>
      <c r="E12" s="84"/>
      <c r="F12" s="84"/>
      <c r="G12" s="84"/>
      <c r="H12" s="84">
        <v>324120</v>
      </c>
      <c r="I12" s="84">
        <v>1356157</v>
      </c>
      <c r="J12" s="84">
        <v>26604</v>
      </c>
      <c r="K12" s="84">
        <v>287953</v>
      </c>
      <c r="L12" s="84">
        <v>113118</v>
      </c>
      <c r="M12" s="84">
        <v>362680</v>
      </c>
      <c r="N12" s="84"/>
      <c r="O12" s="84"/>
      <c r="P12" s="84">
        <v>6699</v>
      </c>
      <c r="Q12" s="84">
        <v>17323</v>
      </c>
      <c r="R12" s="84">
        <v>176654</v>
      </c>
      <c r="S12" s="84">
        <v>622567</v>
      </c>
      <c r="T12" s="84">
        <v>13560</v>
      </c>
      <c r="U12" s="84">
        <v>164681</v>
      </c>
      <c r="V12" s="84">
        <v>427185</v>
      </c>
      <c r="W12" s="84">
        <v>1317532</v>
      </c>
      <c r="X12" s="84">
        <v>757299</v>
      </c>
      <c r="Y12" s="84">
        <v>2626574</v>
      </c>
      <c r="Z12" s="84">
        <v>76807</v>
      </c>
      <c r="AA12" s="84">
        <v>456026</v>
      </c>
      <c r="AB12" s="84">
        <v>12442</v>
      </c>
      <c r="AC12" s="84">
        <v>33346</v>
      </c>
      <c r="AD12" s="84">
        <v>45675</v>
      </c>
      <c r="AE12" s="84">
        <v>100834</v>
      </c>
      <c r="AF12" s="84">
        <v>19201</v>
      </c>
      <c r="AG12" s="84">
        <v>156380</v>
      </c>
      <c r="AH12" s="84"/>
      <c r="AI12" s="84"/>
      <c r="AJ12" s="84"/>
      <c r="AK12" s="84"/>
      <c r="AL12" s="84">
        <v>1360788.2580000011</v>
      </c>
      <c r="AM12" s="84">
        <v>4374738.0310000014</v>
      </c>
      <c r="AN12" s="84">
        <v>2195</v>
      </c>
      <c r="AO12" s="84">
        <v>8334</v>
      </c>
      <c r="AP12" s="84">
        <v>5162</v>
      </c>
      <c r="AQ12" s="84">
        <v>14092</v>
      </c>
      <c r="AR12" s="84">
        <v>271419</v>
      </c>
      <c r="AS12" s="84">
        <v>1017465</v>
      </c>
      <c r="AT12" s="84"/>
      <c r="AU12" s="84"/>
      <c r="AV12" s="84">
        <v>60825</v>
      </c>
      <c r="AW12" s="84">
        <v>245178</v>
      </c>
      <c r="AX12" s="84">
        <v>372596</v>
      </c>
      <c r="AY12" s="84">
        <v>1236016</v>
      </c>
      <c r="AZ12" s="84">
        <v>-30237</v>
      </c>
      <c r="BA12" s="84">
        <v>89928</v>
      </c>
      <c r="BB12" s="84"/>
      <c r="BC12" s="84"/>
      <c r="BD12" s="84">
        <v>253082</v>
      </c>
      <c r="BE12" s="84">
        <v>849863</v>
      </c>
      <c r="BF12" s="84">
        <v>2494038</v>
      </c>
      <c r="BG12" s="84">
        <v>16544848</v>
      </c>
      <c r="BH12" s="84">
        <v>595764</v>
      </c>
      <c r="BI12" s="84">
        <v>3748405</v>
      </c>
      <c r="BJ12" s="84">
        <v>872249</v>
      </c>
      <c r="BK12" s="84">
        <v>4383777</v>
      </c>
      <c r="BL12" s="84">
        <v>15890</v>
      </c>
      <c r="BM12" s="84">
        <v>342519</v>
      </c>
      <c r="BN12" s="73">
        <f t="shared" si="0"/>
        <v>8273142.2580000013</v>
      </c>
      <c r="BO12" s="73">
        <f t="shared" si="1"/>
        <v>40357223.031000003</v>
      </c>
    </row>
    <row r="13" spans="1:67" x14ac:dyDescent="0.25">
      <c r="A13" s="13"/>
    </row>
    <row r="14" spans="1:67" x14ac:dyDescent="0.25">
      <c r="A14" s="28" t="s">
        <v>217</v>
      </c>
    </row>
    <row r="15" spans="1:67" x14ac:dyDescent="0.25">
      <c r="A15" s="3" t="s">
        <v>0</v>
      </c>
      <c r="B15" s="103" t="s">
        <v>1</v>
      </c>
      <c r="C15" s="104"/>
      <c r="D15" s="103" t="s">
        <v>282</v>
      </c>
      <c r="E15" s="104"/>
      <c r="F15" s="103" t="s">
        <v>2</v>
      </c>
      <c r="G15" s="104"/>
      <c r="H15" s="103" t="s">
        <v>3</v>
      </c>
      <c r="I15" s="104"/>
      <c r="J15" s="103" t="s">
        <v>4</v>
      </c>
      <c r="K15" s="104"/>
      <c r="L15" s="103" t="s">
        <v>283</v>
      </c>
      <c r="M15" s="104"/>
      <c r="N15" s="103" t="s">
        <v>6</v>
      </c>
      <c r="O15" s="104"/>
      <c r="P15" s="103" t="s">
        <v>5</v>
      </c>
      <c r="Q15" s="104"/>
      <c r="R15" s="103" t="s">
        <v>7</v>
      </c>
      <c r="S15" s="104"/>
      <c r="T15" s="103" t="s">
        <v>284</v>
      </c>
      <c r="U15" s="104"/>
      <c r="V15" s="103" t="s">
        <v>8</v>
      </c>
      <c r="W15" s="104"/>
      <c r="X15" s="103" t="s">
        <v>9</v>
      </c>
      <c r="Y15" s="104"/>
      <c r="Z15" s="103" t="s">
        <v>10</v>
      </c>
      <c r="AA15" s="104"/>
      <c r="AB15" s="103" t="s">
        <v>304</v>
      </c>
      <c r="AC15" s="104"/>
      <c r="AD15" s="103" t="s">
        <v>11</v>
      </c>
      <c r="AE15" s="104"/>
      <c r="AF15" s="103" t="s">
        <v>12</v>
      </c>
      <c r="AG15" s="104"/>
      <c r="AH15" s="103" t="s">
        <v>285</v>
      </c>
      <c r="AI15" s="104"/>
      <c r="AJ15" s="103" t="s">
        <v>290</v>
      </c>
      <c r="AK15" s="104"/>
      <c r="AL15" s="103" t="s">
        <v>13</v>
      </c>
      <c r="AM15" s="104"/>
      <c r="AN15" s="103" t="s">
        <v>286</v>
      </c>
      <c r="AO15" s="104"/>
      <c r="AP15" s="103" t="s">
        <v>287</v>
      </c>
      <c r="AQ15" s="104"/>
      <c r="AR15" s="103" t="s">
        <v>291</v>
      </c>
      <c r="AS15" s="104"/>
      <c r="AT15" s="103" t="s">
        <v>305</v>
      </c>
      <c r="AU15" s="104"/>
      <c r="AV15" s="103" t="s">
        <v>14</v>
      </c>
      <c r="AW15" s="104"/>
      <c r="AX15" s="103" t="s">
        <v>15</v>
      </c>
      <c r="AY15" s="104"/>
      <c r="AZ15" s="103" t="s">
        <v>16</v>
      </c>
      <c r="BA15" s="104"/>
      <c r="BB15" s="103" t="s">
        <v>17</v>
      </c>
      <c r="BC15" s="104"/>
      <c r="BD15" s="103" t="s">
        <v>18</v>
      </c>
      <c r="BE15" s="104"/>
      <c r="BF15" s="103" t="s">
        <v>288</v>
      </c>
      <c r="BG15" s="104"/>
      <c r="BH15" s="103" t="s">
        <v>289</v>
      </c>
      <c r="BI15" s="104"/>
      <c r="BJ15" s="103" t="s">
        <v>19</v>
      </c>
      <c r="BK15" s="104"/>
      <c r="BL15" s="103" t="s">
        <v>20</v>
      </c>
      <c r="BM15" s="104"/>
      <c r="BN15" s="105" t="s">
        <v>21</v>
      </c>
      <c r="BO15" s="106"/>
    </row>
    <row r="16" spans="1:67" ht="30" x14ac:dyDescent="0.25">
      <c r="A16" s="3"/>
      <c r="B16" s="57" t="s">
        <v>293</v>
      </c>
      <c r="C16" s="58" t="s">
        <v>294</v>
      </c>
      <c r="D16" s="57" t="s">
        <v>293</v>
      </c>
      <c r="E16" s="58" t="s">
        <v>294</v>
      </c>
      <c r="F16" s="57" t="s">
        <v>293</v>
      </c>
      <c r="G16" s="58" t="s">
        <v>294</v>
      </c>
      <c r="H16" s="57" t="s">
        <v>293</v>
      </c>
      <c r="I16" s="58" t="s">
        <v>294</v>
      </c>
      <c r="J16" s="57" t="s">
        <v>293</v>
      </c>
      <c r="K16" s="58" t="s">
        <v>294</v>
      </c>
      <c r="L16" s="57" t="s">
        <v>293</v>
      </c>
      <c r="M16" s="58" t="s">
        <v>294</v>
      </c>
      <c r="N16" s="57" t="s">
        <v>293</v>
      </c>
      <c r="O16" s="58" t="s">
        <v>294</v>
      </c>
      <c r="P16" s="57" t="s">
        <v>293</v>
      </c>
      <c r="Q16" s="58" t="s">
        <v>294</v>
      </c>
      <c r="R16" s="57" t="s">
        <v>293</v>
      </c>
      <c r="S16" s="58" t="s">
        <v>294</v>
      </c>
      <c r="T16" s="57" t="s">
        <v>293</v>
      </c>
      <c r="U16" s="58" t="s">
        <v>294</v>
      </c>
      <c r="V16" s="57" t="s">
        <v>293</v>
      </c>
      <c r="W16" s="58" t="s">
        <v>294</v>
      </c>
      <c r="X16" s="57" t="s">
        <v>293</v>
      </c>
      <c r="Y16" s="58" t="s">
        <v>294</v>
      </c>
      <c r="Z16" s="57" t="s">
        <v>293</v>
      </c>
      <c r="AA16" s="58" t="s">
        <v>294</v>
      </c>
      <c r="AB16" s="57" t="s">
        <v>293</v>
      </c>
      <c r="AC16" s="58" t="s">
        <v>294</v>
      </c>
      <c r="AD16" s="57" t="s">
        <v>293</v>
      </c>
      <c r="AE16" s="58" t="s">
        <v>294</v>
      </c>
      <c r="AF16" s="57" t="s">
        <v>293</v>
      </c>
      <c r="AG16" s="58" t="s">
        <v>294</v>
      </c>
      <c r="AH16" s="57" t="s">
        <v>293</v>
      </c>
      <c r="AI16" s="58" t="s">
        <v>294</v>
      </c>
      <c r="AJ16" s="57" t="s">
        <v>293</v>
      </c>
      <c r="AK16" s="58" t="s">
        <v>294</v>
      </c>
      <c r="AL16" s="57" t="s">
        <v>293</v>
      </c>
      <c r="AM16" s="58" t="s">
        <v>294</v>
      </c>
      <c r="AN16" s="57" t="s">
        <v>293</v>
      </c>
      <c r="AO16" s="58" t="s">
        <v>294</v>
      </c>
      <c r="AP16" s="57" t="s">
        <v>293</v>
      </c>
      <c r="AQ16" s="58" t="s">
        <v>294</v>
      </c>
      <c r="AR16" s="57" t="s">
        <v>293</v>
      </c>
      <c r="AS16" s="58" t="s">
        <v>294</v>
      </c>
      <c r="AT16" s="57" t="s">
        <v>293</v>
      </c>
      <c r="AU16" s="58" t="s">
        <v>294</v>
      </c>
      <c r="AV16" s="57" t="s">
        <v>293</v>
      </c>
      <c r="AW16" s="58" t="s">
        <v>294</v>
      </c>
      <c r="AX16" s="57" t="s">
        <v>293</v>
      </c>
      <c r="AY16" s="58" t="s">
        <v>294</v>
      </c>
      <c r="AZ16" s="57" t="s">
        <v>293</v>
      </c>
      <c r="BA16" s="58" t="s">
        <v>294</v>
      </c>
      <c r="BB16" s="57" t="s">
        <v>293</v>
      </c>
      <c r="BC16" s="58" t="s">
        <v>294</v>
      </c>
      <c r="BD16" s="57" t="s">
        <v>293</v>
      </c>
      <c r="BE16" s="58" t="s">
        <v>294</v>
      </c>
      <c r="BF16" s="57" t="s">
        <v>293</v>
      </c>
      <c r="BG16" s="58" t="s">
        <v>294</v>
      </c>
      <c r="BH16" s="57" t="s">
        <v>293</v>
      </c>
      <c r="BI16" s="58" t="s">
        <v>294</v>
      </c>
      <c r="BJ16" s="57" t="s">
        <v>293</v>
      </c>
      <c r="BK16" s="58" t="s">
        <v>294</v>
      </c>
      <c r="BL16" s="57" t="s">
        <v>293</v>
      </c>
      <c r="BM16" s="58" t="s">
        <v>294</v>
      </c>
      <c r="BN16" s="57" t="s">
        <v>293</v>
      </c>
      <c r="BO16" s="58" t="s">
        <v>294</v>
      </c>
    </row>
    <row r="17" spans="1:67" x14ac:dyDescent="0.25">
      <c r="A17" s="21" t="s">
        <v>228</v>
      </c>
      <c r="B17" s="84"/>
      <c r="C17" s="84"/>
      <c r="D17" s="84"/>
      <c r="E17" s="84"/>
      <c r="F17" s="84"/>
      <c r="G17" s="84"/>
      <c r="H17" s="84">
        <v>239224</v>
      </c>
      <c r="I17" s="84">
        <v>770987</v>
      </c>
      <c r="J17" s="84">
        <v>107679</v>
      </c>
      <c r="K17" s="84">
        <v>289707</v>
      </c>
      <c r="L17" s="84">
        <v>183134</v>
      </c>
      <c r="M17" s="84">
        <v>326802</v>
      </c>
      <c r="N17" s="84"/>
      <c r="O17" s="84"/>
      <c r="P17" s="84">
        <v>1245</v>
      </c>
      <c r="Q17" s="84">
        <v>9668</v>
      </c>
      <c r="R17" s="84">
        <v>110846</v>
      </c>
      <c r="S17" s="84">
        <v>254717</v>
      </c>
      <c r="T17" s="84">
        <v>1301</v>
      </c>
      <c r="U17" s="84">
        <v>3921.65</v>
      </c>
      <c r="V17" s="84">
        <f>6605+440642</f>
        <v>447247</v>
      </c>
      <c r="W17" s="84">
        <f>14125+939494</f>
        <v>953619</v>
      </c>
      <c r="X17" s="84">
        <v>970978</v>
      </c>
      <c r="Y17" s="84">
        <v>2103193</v>
      </c>
      <c r="Z17" s="84">
        <v>329366</v>
      </c>
      <c r="AA17" s="84">
        <v>199035</v>
      </c>
      <c r="AB17" s="84"/>
      <c r="AC17" s="84"/>
      <c r="AD17" s="84">
        <v>50426</v>
      </c>
      <c r="AE17" s="84">
        <v>121406</v>
      </c>
      <c r="AF17" s="84">
        <v>28825</v>
      </c>
      <c r="AG17" s="84">
        <v>94380</v>
      </c>
      <c r="AH17" s="84"/>
      <c r="AI17" s="84"/>
      <c r="AJ17" s="84"/>
      <c r="AK17" s="84"/>
      <c r="AL17" s="84">
        <v>177533.47400000005</v>
      </c>
      <c r="AM17" s="84">
        <v>601947.93299999996</v>
      </c>
      <c r="AN17" s="84"/>
      <c r="AO17" s="84"/>
      <c r="AP17" s="84"/>
      <c r="AQ17" s="84"/>
      <c r="AR17" s="84">
        <v>161619</v>
      </c>
      <c r="AS17" s="84">
        <v>454746</v>
      </c>
      <c r="AT17" s="84"/>
      <c r="AU17" s="84"/>
      <c r="AV17" s="84">
        <v>68290</v>
      </c>
      <c r="AW17" s="84">
        <v>148378</v>
      </c>
      <c r="AX17" s="84">
        <v>53797</v>
      </c>
      <c r="AY17" s="84">
        <v>109673</v>
      </c>
      <c r="AZ17" s="84">
        <v>506</v>
      </c>
      <c r="BA17" s="84">
        <v>2706</v>
      </c>
      <c r="BB17" s="84"/>
      <c r="BC17" s="84"/>
      <c r="BD17" s="84">
        <v>578021</v>
      </c>
      <c r="BE17" s="84">
        <v>1298791</v>
      </c>
      <c r="BF17" s="84">
        <v>1347985</v>
      </c>
      <c r="BG17" s="84">
        <v>2534549</v>
      </c>
      <c r="BH17" s="84">
        <v>414784</v>
      </c>
      <c r="BI17" s="84">
        <v>1319089</v>
      </c>
      <c r="BJ17" s="84">
        <v>757765</v>
      </c>
      <c r="BK17" s="84">
        <v>1158504</v>
      </c>
      <c r="BL17" s="84">
        <v>27997</v>
      </c>
      <c r="BM17" s="84">
        <v>52011</v>
      </c>
      <c r="BN17" s="73">
        <f t="shared" ref="BN17:BN23" si="2">SUM(B17+D17+F17+H17+J17+L17+N17+P17+R17+T17+V17+X17+Z17+AB17+AD17+AF17+AH17+AJ17+AL17+AN17+AP17+AR17+AT17+AV17+AX17+AZ17+BB17+BD17+BF17+BH17+BJ17+BL17)</f>
        <v>6058568.4739999995</v>
      </c>
      <c r="BO17" s="73">
        <f t="shared" ref="BO17:BO23" si="3">SUM(C17+E17+G17+I17+K17+M17+O17+Q17+S17+U17+W17+Y17+AA17+AC17+AE17+AG17+AI17+AK17+AM17+AO17+AQ17+AS17+AU17+AW17+AY17+BA17+BC17+BE17+BG17+BI17+BK17+BM17)</f>
        <v>12807830.583000001</v>
      </c>
    </row>
    <row r="18" spans="1:67" x14ac:dyDescent="0.25">
      <c r="A18" s="21" t="s">
        <v>279</v>
      </c>
      <c r="B18" s="84"/>
      <c r="C18" s="84"/>
      <c r="D18" s="84"/>
      <c r="E18" s="84"/>
      <c r="F18" s="84"/>
      <c r="G18" s="84"/>
      <c r="H18" s="84">
        <v>-70552</v>
      </c>
      <c r="I18" s="84">
        <v>791688</v>
      </c>
      <c r="J18" s="84">
        <v>563</v>
      </c>
      <c r="K18" s="84">
        <v>447574</v>
      </c>
      <c r="L18" s="84">
        <v>107198</v>
      </c>
      <c r="M18" s="84">
        <v>107198</v>
      </c>
      <c r="N18" s="84"/>
      <c r="O18" s="84"/>
      <c r="P18" s="84">
        <v>18348</v>
      </c>
      <c r="Q18" s="84">
        <v>18348</v>
      </c>
      <c r="R18" s="84">
        <v>393490</v>
      </c>
      <c r="S18" s="84">
        <v>393490</v>
      </c>
      <c r="T18" s="84">
        <v>5074</v>
      </c>
      <c r="U18" s="84">
        <v>5074.0200000000004</v>
      </c>
      <c r="V18" s="84">
        <f>1065104+3031339</f>
        <v>4096443</v>
      </c>
      <c r="W18" s="84">
        <f>1065104+3031339</f>
        <v>4096443</v>
      </c>
      <c r="X18" s="84">
        <v>10182388</v>
      </c>
      <c r="Y18" s="84">
        <v>10182388</v>
      </c>
      <c r="Z18" s="84">
        <v>-48250</v>
      </c>
      <c r="AA18" s="84">
        <v>504644</v>
      </c>
      <c r="AB18" s="84"/>
      <c r="AC18" s="84"/>
      <c r="AD18" s="84">
        <v>131551</v>
      </c>
      <c r="AE18" s="84">
        <v>131551</v>
      </c>
      <c r="AF18" s="84">
        <v>478961</v>
      </c>
      <c r="AG18" s="84">
        <v>478961</v>
      </c>
      <c r="AH18" s="84"/>
      <c r="AI18" s="84"/>
      <c r="AJ18" s="84"/>
      <c r="AK18" s="84"/>
      <c r="AL18" s="84">
        <v>8308.7399999998088</v>
      </c>
      <c r="AM18" s="84">
        <v>2355151.7190000005</v>
      </c>
      <c r="AN18" s="84"/>
      <c r="AO18" s="84"/>
      <c r="AP18" s="84">
        <v>574</v>
      </c>
      <c r="AQ18" s="84">
        <v>1386</v>
      </c>
      <c r="AR18" s="84">
        <v>254677</v>
      </c>
      <c r="AS18" s="84">
        <v>254677</v>
      </c>
      <c r="AT18" s="84"/>
      <c r="AU18" s="84"/>
      <c r="AV18" s="84">
        <v>-26828</v>
      </c>
      <c r="AW18" s="84">
        <v>382933</v>
      </c>
      <c r="AX18" s="84">
        <v>246235</v>
      </c>
      <c r="AY18" s="84">
        <v>246235</v>
      </c>
      <c r="AZ18" s="84">
        <v>12738</v>
      </c>
      <c r="BA18" s="84">
        <v>12738</v>
      </c>
      <c r="BB18" s="84"/>
      <c r="BC18" s="84"/>
      <c r="BD18" s="84">
        <v>2056044</v>
      </c>
      <c r="BE18" s="84">
        <v>2056044</v>
      </c>
      <c r="BF18" s="84">
        <v>8559566</v>
      </c>
      <c r="BG18" s="84">
        <v>8559566</v>
      </c>
      <c r="BH18" s="84">
        <v>662097</v>
      </c>
      <c r="BI18" s="84">
        <v>6569914</v>
      </c>
      <c r="BJ18" s="84">
        <v>8308260</v>
      </c>
      <c r="BK18" s="84">
        <v>8308260</v>
      </c>
      <c r="BL18" s="84">
        <f>1758-3268</f>
        <v>-1510</v>
      </c>
      <c r="BM18" s="84">
        <f>3018+25524</f>
        <v>28542</v>
      </c>
      <c r="BN18" s="73">
        <f t="shared" si="2"/>
        <v>35375375.740000002</v>
      </c>
      <c r="BO18" s="73">
        <f t="shared" si="3"/>
        <v>45932805.739</v>
      </c>
    </row>
    <row r="19" spans="1:67" x14ac:dyDescent="0.25">
      <c r="A19" s="21" t="s">
        <v>278</v>
      </c>
      <c r="B19" s="84"/>
      <c r="C19" s="84"/>
      <c r="D19" s="84"/>
      <c r="E19" s="84"/>
      <c r="F19" s="84"/>
      <c r="G19" s="84"/>
      <c r="H19" s="84"/>
      <c r="I19" s="84">
        <v>714403</v>
      </c>
      <c r="J19" s="84"/>
      <c r="K19" s="84">
        <v>419719</v>
      </c>
      <c r="L19" s="84">
        <v>99705</v>
      </c>
      <c r="M19" s="84">
        <v>64986</v>
      </c>
      <c r="N19" s="84"/>
      <c r="O19" s="84"/>
      <c r="P19" s="84">
        <v>5565</v>
      </c>
      <c r="Q19" s="84">
        <v>6162</v>
      </c>
      <c r="R19" s="84">
        <v>393729</v>
      </c>
      <c r="S19" s="84">
        <v>340696</v>
      </c>
      <c r="T19" s="84">
        <v>4855</v>
      </c>
      <c r="U19" s="84">
        <v>270.47000000000003</v>
      </c>
      <c r="V19" s="84">
        <f>-1044861-1323554</f>
        <v>-2368415</v>
      </c>
      <c r="W19" s="84">
        <f>-1274444-1093378</f>
        <v>-2367822</v>
      </c>
      <c r="X19" s="84">
        <v>10217069</v>
      </c>
      <c r="Y19" s="84">
        <v>5899045</v>
      </c>
      <c r="Z19" s="84"/>
      <c r="AA19" s="84">
        <v>584103</v>
      </c>
      <c r="AB19" s="84"/>
      <c r="AC19" s="84"/>
      <c r="AD19" s="84">
        <v>132792</v>
      </c>
      <c r="AE19" s="84">
        <v>142203</v>
      </c>
      <c r="AF19" s="84">
        <v>-460705</v>
      </c>
      <c r="AG19" s="84">
        <v>-484869</v>
      </c>
      <c r="AH19" s="84"/>
      <c r="AI19" s="84"/>
      <c r="AJ19" s="84"/>
      <c r="AK19" s="84"/>
      <c r="AL19" s="84">
        <v>0</v>
      </c>
      <c r="AM19" s="84">
        <v>1907749.3829999997</v>
      </c>
      <c r="AN19" s="84"/>
      <c r="AO19" s="84"/>
      <c r="AP19" s="84"/>
      <c r="AQ19" s="84">
        <v>168</v>
      </c>
      <c r="AR19" s="84">
        <v>214240</v>
      </c>
      <c r="AS19" s="84">
        <v>199656</v>
      </c>
      <c r="AT19" s="84"/>
      <c r="AU19" s="84"/>
      <c r="AV19" s="84"/>
      <c r="AW19" s="84">
        <v>-419333</v>
      </c>
      <c r="AX19" s="84">
        <v>209013</v>
      </c>
      <c r="AY19" s="84">
        <v>161178</v>
      </c>
      <c r="AZ19" s="84">
        <v>11935</v>
      </c>
      <c r="BA19" s="84">
        <v>13065</v>
      </c>
      <c r="BB19" s="84"/>
      <c r="BC19" s="84"/>
      <c r="BD19" s="84">
        <v>1977237</v>
      </c>
      <c r="BE19" s="84">
        <v>1799545</v>
      </c>
      <c r="BF19" s="84">
        <v>9513240</v>
      </c>
      <c r="BG19" s="84">
        <v>6320172</v>
      </c>
      <c r="BH19" s="84">
        <v>0</v>
      </c>
      <c r="BI19" s="84">
        <v>5839119</v>
      </c>
      <c r="BJ19" s="84">
        <v>8637268</v>
      </c>
      <c r="BK19" s="84">
        <v>5744652</v>
      </c>
      <c r="BL19" s="84"/>
      <c r="BM19" s="84">
        <f>19+23302</f>
        <v>23321</v>
      </c>
      <c r="BN19" s="73">
        <f t="shared" si="2"/>
        <v>28587528</v>
      </c>
      <c r="BO19" s="73">
        <f t="shared" si="3"/>
        <v>26908188.853</v>
      </c>
    </row>
    <row r="20" spans="1:67" x14ac:dyDescent="0.25">
      <c r="A20" s="21" t="s">
        <v>281</v>
      </c>
      <c r="B20" s="84"/>
      <c r="C20" s="84"/>
      <c r="D20" s="84"/>
      <c r="E20" s="84"/>
      <c r="F20" s="84"/>
      <c r="G20" s="84"/>
      <c r="H20" s="84">
        <v>168672</v>
      </c>
      <c r="I20" s="84">
        <v>848272</v>
      </c>
      <c r="J20" s="84"/>
      <c r="K20" s="84"/>
      <c r="L20" s="84">
        <v>190627</v>
      </c>
      <c r="M20" s="84">
        <v>369014</v>
      </c>
      <c r="N20" s="84"/>
      <c r="O20" s="84"/>
      <c r="P20" s="84">
        <v>14028</v>
      </c>
      <c r="Q20" s="84">
        <v>21854</v>
      </c>
      <c r="R20" s="84"/>
      <c r="S20" s="84"/>
      <c r="T20" s="84"/>
      <c r="U20" s="84"/>
      <c r="V20" s="84">
        <f>26848+2148427</f>
        <v>2175275</v>
      </c>
      <c r="W20" s="84">
        <f>-195215+2877455</f>
        <v>2682240</v>
      </c>
      <c r="X20" s="84">
        <v>936297</v>
      </c>
      <c r="Y20" s="84">
        <v>6386536</v>
      </c>
      <c r="Z20" s="84">
        <v>281116</v>
      </c>
      <c r="AA20" s="84">
        <v>119576</v>
      </c>
      <c r="AB20" s="84"/>
      <c r="AC20" s="84"/>
      <c r="AD20" s="84">
        <v>49185</v>
      </c>
      <c r="AE20" s="84">
        <v>110754</v>
      </c>
      <c r="AF20" s="84">
        <v>47081</v>
      </c>
      <c r="AG20" s="84">
        <v>88472</v>
      </c>
      <c r="AH20" s="84"/>
      <c r="AI20" s="84"/>
      <c r="AJ20" s="84"/>
      <c r="AK20" s="84"/>
      <c r="AL20" s="84"/>
      <c r="AM20" s="84"/>
      <c r="AN20" s="84"/>
      <c r="AO20" s="84"/>
      <c r="AP20" s="84">
        <v>574</v>
      </c>
      <c r="AQ20" s="84">
        <v>1218</v>
      </c>
      <c r="AR20" s="84"/>
      <c r="AS20" s="84"/>
      <c r="AT20" s="84"/>
      <c r="AU20" s="84"/>
      <c r="AV20" s="84">
        <v>41462</v>
      </c>
      <c r="AW20" s="84">
        <v>111978</v>
      </c>
      <c r="AX20" s="84"/>
      <c r="AY20" s="84"/>
      <c r="AZ20" s="84"/>
      <c r="BA20" s="84"/>
      <c r="BB20" s="84"/>
      <c r="BC20" s="84"/>
      <c r="BD20" s="84">
        <v>656828</v>
      </c>
      <c r="BE20" s="84">
        <v>1555290</v>
      </c>
      <c r="BF20" s="84">
        <v>394312</v>
      </c>
      <c r="BG20" s="84">
        <v>4773943</v>
      </c>
      <c r="BH20" s="84">
        <v>1076881</v>
      </c>
      <c r="BI20" s="84">
        <v>2049884</v>
      </c>
      <c r="BJ20" s="84">
        <v>428757</v>
      </c>
      <c r="BK20" s="84">
        <v>3722112</v>
      </c>
      <c r="BL20" s="84">
        <f>1758+24729</f>
        <v>26487</v>
      </c>
      <c r="BM20" s="84">
        <f>2999+54233</f>
        <v>57232</v>
      </c>
      <c r="BN20" s="73">
        <f t="shared" si="2"/>
        <v>6487582</v>
      </c>
      <c r="BO20" s="73">
        <f t="shared" si="3"/>
        <v>22898375</v>
      </c>
    </row>
    <row r="21" spans="1:67" x14ac:dyDescent="0.25">
      <c r="A21" s="21" t="s">
        <v>276</v>
      </c>
      <c r="B21" s="84"/>
      <c r="C21" s="84"/>
      <c r="D21" s="84"/>
      <c r="E21" s="84"/>
      <c r="F21" s="84"/>
      <c r="G21" s="84"/>
      <c r="H21" s="84"/>
      <c r="I21" s="84">
        <v>374</v>
      </c>
      <c r="J21" s="84">
        <v>39299</v>
      </c>
      <c r="K21" s="84">
        <v>44553</v>
      </c>
      <c r="L21" s="84"/>
      <c r="M21" s="84"/>
      <c r="N21" s="84"/>
      <c r="O21" s="84"/>
      <c r="P21" s="84">
        <v>11</v>
      </c>
      <c r="Q21" s="84">
        <v>11</v>
      </c>
      <c r="R21" s="84">
        <v>5013</v>
      </c>
      <c r="S21" s="84">
        <v>18254</v>
      </c>
      <c r="T21" s="84"/>
      <c r="U21" s="84"/>
      <c r="V21" s="84">
        <v>23028</v>
      </c>
      <c r="W21" s="84">
        <v>66280</v>
      </c>
      <c r="X21" s="84">
        <v>4291</v>
      </c>
      <c r="Y21" s="84">
        <v>47663</v>
      </c>
      <c r="Z21" s="84">
        <v>48841</v>
      </c>
      <c r="AA21" s="84">
        <v>49577</v>
      </c>
      <c r="AB21" s="84"/>
      <c r="AC21" s="84"/>
      <c r="AD21" s="84"/>
      <c r="AE21" s="84"/>
      <c r="AF21" s="84">
        <v>25410</v>
      </c>
      <c r="AG21" s="84">
        <v>85971</v>
      </c>
      <c r="AH21" s="84"/>
      <c r="AI21" s="84"/>
      <c r="AJ21" s="84"/>
      <c r="AK21" s="84"/>
      <c r="AL21" s="84">
        <v>40258.964</v>
      </c>
      <c r="AM21" s="84">
        <v>136629.065</v>
      </c>
      <c r="AN21" s="84"/>
      <c r="AO21" s="84"/>
      <c r="AP21" s="84"/>
      <c r="AQ21" s="84"/>
      <c r="AR21" s="84">
        <v>27542</v>
      </c>
      <c r="AS21" s="84">
        <v>27542</v>
      </c>
      <c r="AT21" s="84"/>
      <c r="AU21" s="84"/>
      <c r="AV21" s="84">
        <v>344</v>
      </c>
      <c r="AW21" s="84">
        <v>349</v>
      </c>
      <c r="AX21" s="84"/>
      <c r="AY21" s="84"/>
      <c r="AZ21" s="84"/>
      <c r="BA21" s="84"/>
      <c r="BB21" s="84"/>
      <c r="BC21" s="84"/>
      <c r="BD21" s="84">
        <v>5296</v>
      </c>
      <c r="BE21" s="84">
        <v>29421</v>
      </c>
      <c r="BF21" s="84">
        <v>291603</v>
      </c>
      <c r="BG21" s="84">
        <v>344015</v>
      </c>
      <c r="BH21" s="84">
        <v>61228</v>
      </c>
      <c r="BI21" s="84">
        <v>71969</v>
      </c>
      <c r="BJ21" s="84">
        <v>-6381</v>
      </c>
      <c r="BK21" s="84">
        <v>82594</v>
      </c>
      <c r="BL21" s="84"/>
      <c r="BM21" s="84"/>
      <c r="BN21" s="73">
        <f t="shared" si="2"/>
        <v>565783.96400000004</v>
      </c>
      <c r="BO21" s="73">
        <f t="shared" si="3"/>
        <v>1005202.0649999999</v>
      </c>
    </row>
    <row r="22" spans="1:67" x14ac:dyDescent="0.25">
      <c r="A22" s="21" t="s">
        <v>277</v>
      </c>
      <c r="B22" s="84"/>
      <c r="C22" s="84"/>
      <c r="D22" s="84"/>
      <c r="E22" s="84"/>
      <c r="F22" s="84"/>
      <c r="G22" s="84"/>
      <c r="H22" s="84">
        <v>68140</v>
      </c>
      <c r="I22" s="84">
        <v>312478</v>
      </c>
      <c r="J22" s="84">
        <v>38072</v>
      </c>
      <c r="K22" s="84">
        <v>77667</v>
      </c>
      <c r="L22" s="84">
        <v>137194</v>
      </c>
      <c r="M22" s="84">
        <v>242214</v>
      </c>
      <c r="N22" s="84"/>
      <c r="O22" s="84"/>
      <c r="P22" s="84">
        <v>13174</v>
      </c>
      <c r="Q22" s="84">
        <v>18492</v>
      </c>
      <c r="R22" s="84">
        <v>12177</v>
      </c>
      <c r="S22" s="84">
        <v>25307</v>
      </c>
      <c r="T22" s="84">
        <v>65</v>
      </c>
      <c r="U22" s="84">
        <v>2211.4</v>
      </c>
      <c r="V22" s="84">
        <f>-216781+757235-2574885-6529-1056464+1036825</f>
        <v>-2060599</v>
      </c>
      <c r="W22" s="84">
        <f>-491662-2574885+612865-14034-1056464+1266113</f>
        <v>-2258067</v>
      </c>
      <c r="X22" s="84">
        <v>446122</v>
      </c>
      <c r="Y22" s="84">
        <v>758393</v>
      </c>
      <c r="Z22" s="84">
        <v>146469</v>
      </c>
      <c r="AA22" s="84">
        <v>-201879</v>
      </c>
      <c r="AB22" s="84"/>
      <c r="AC22" s="84"/>
      <c r="AD22" s="84">
        <v>3113</v>
      </c>
      <c r="AE22" s="84">
        <v>6642</v>
      </c>
      <c r="AF22" s="84">
        <v>-43869</v>
      </c>
      <c r="AG22" s="84">
        <v>-160280</v>
      </c>
      <c r="AH22" s="84"/>
      <c r="AI22" s="84"/>
      <c r="AJ22" s="84"/>
      <c r="AK22" s="84"/>
      <c r="AL22" s="84">
        <v>36812.582000000002</v>
      </c>
      <c r="AM22" s="84">
        <v>129166.20600000001</v>
      </c>
      <c r="AN22" s="84"/>
      <c r="AO22" s="84"/>
      <c r="AP22" s="84"/>
      <c r="AQ22" s="84"/>
      <c r="AR22" s="84">
        <v>157195</v>
      </c>
      <c r="AS22" s="84">
        <v>423950</v>
      </c>
      <c r="AT22" s="84"/>
      <c r="AU22" s="84"/>
      <c r="AV22" s="84">
        <v>-35464</v>
      </c>
      <c r="AW22" s="84">
        <v>-76336</v>
      </c>
      <c r="AX22" s="84">
        <v>2723</v>
      </c>
      <c r="AY22" s="84">
        <v>7103</v>
      </c>
      <c r="AZ22" s="84">
        <v>25</v>
      </c>
      <c r="BA22" s="84">
        <v>817</v>
      </c>
      <c r="BB22" s="84"/>
      <c r="BC22" s="84"/>
      <c r="BD22" s="84">
        <v>53369</v>
      </c>
      <c r="BE22" s="84">
        <v>78365</v>
      </c>
      <c r="BF22" s="84">
        <v>471429</v>
      </c>
      <c r="BG22" s="84">
        <v>759512</v>
      </c>
      <c r="BH22" s="84">
        <v>285075</v>
      </c>
      <c r="BI22" s="84">
        <v>592001</v>
      </c>
      <c r="BJ22" s="84">
        <v>167080</v>
      </c>
      <c r="BK22" s="84">
        <v>2768188</v>
      </c>
      <c r="BL22" s="84">
        <v>16797</v>
      </c>
      <c r="BM22" s="84">
        <v>34984</v>
      </c>
      <c r="BN22" s="73">
        <f t="shared" si="2"/>
        <v>-84900.418000000063</v>
      </c>
      <c r="BO22" s="73">
        <f t="shared" si="3"/>
        <v>3540928.6059999997</v>
      </c>
    </row>
    <row r="23" spans="1:67" x14ac:dyDescent="0.25">
      <c r="A23" s="21" t="s">
        <v>273</v>
      </c>
      <c r="B23" s="84"/>
      <c r="C23" s="84"/>
      <c r="D23" s="84"/>
      <c r="E23" s="84"/>
      <c r="F23" s="84"/>
      <c r="G23" s="84"/>
      <c r="H23" s="84">
        <v>100532</v>
      </c>
      <c r="I23" s="84">
        <v>536168</v>
      </c>
      <c r="J23" s="84">
        <v>109468</v>
      </c>
      <c r="K23" s="84">
        <v>284448</v>
      </c>
      <c r="L23" s="84">
        <v>53433</v>
      </c>
      <c r="M23" s="84">
        <v>126800</v>
      </c>
      <c r="N23" s="84"/>
      <c r="O23" s="84"/>
      <c r="P23" s="84">
        <v>865</v>
      </c>
      <c r="Q23" s="84">
        <v>3373</v>
      </c>
      <c r="R23" s="84">
        <v>103442</v>
      </c>
      <c r="S23" s="84">
        <v>300459</v>
      </c>
      <c r="T23" s="84">
        <v>1455</v>
      </c>
      <c r="U23" s="84">
        <v>6514</v>
      </c>
      <c r="V23" s="84">
        <f>680+137024</f>
        <v>137704</v>
      </c>
      <c r="W23" s="84">
        <f>400+490054</f>
        <v>490454</v>
      </c>
      <c r="X23" s="84">
        <v>593855</v>
      </c>
      <c r="Y23" s="84">
        <v>1497193</v>
      </c>
      <c r="Z23" s="84">
        <v>183488</v>
      </c>
      <c r="AA23" s="84">
        <v>371032</v>
      </c>
      <c r="AB23" s="84"/>
      <c r="AC23" s="84"/>
      <c r="AD23" s="84">
        <v>49484</v>
      </c>
      <c r="AE23" s="84">
        <v>105651</v>
      </c>
      <c r="AF23" s="84">
        <v>19786</v>
      </c>
      <c r="AG23" s="84">
        <v>26131</v>
      </c>
      <c r="AH23" s="84"/>
      <c r="AI23" s="84"/>
      <c r="AJ23" s="84"/>
      <c r="AK23" s="84"/>
      <c r="AL23" s="84">
        <v>189289.59599999987</v>
      </c>
      <c r="AM23" s="84">
        <v>1056814.1280000007</v>
      </c>
      <c r="AN23" s="84"/>
      <c r="AO23" s="84"/>
      <c r="AP23" s="84">
        <v>574</v>
      </c>
      <c r="AQ23" s="84">
        <v>1218</v>
      </c>
      <c r="AR23" s="84">
        <v>72403</v>
      </c>
      <c r="AS23" s="84">
        <v>113359</v>
      </c>
      <c r="AT23" s="84"/>
      <c r="AU23" s="84"/>
      <c r="AV23" s="84">
        <v>20873</v>
      </c>
      <c r="AW23" s="84">
        <v>64754</v>
      </c>
      <c r="AX23" s="84">
        <v>88296</v>
      </c>
      <c r="AY23" s="84">
        <v>187627</v>
      </c>
      <c r="AZ23" s="84">
        <v>1284</v>
      </c>
      <c r="BA23" s="84">
        <v>1563</v>
      </c>
      <c r="BB23" s="84"/>
      <c r="BC23" s="84"/>
      <c r="BD23" s="84">
        <v>608755</v>
      </c>
      <c r="BE23" s="84">
        <v>1506346</v>
      </c>
      <c r="BF23" s="84">
        <v>984815</v>
      </c>
      <c r="BG23" s="84">
        <v>2067859</v>
      </c>
      <c r="BH23" s="84">
        <v>853034</v>
      </c>
      <c r="BI23" s="84">
        <v>1529852</v>
      </c>
      <c r="BJ23" s="84">
        <v>255296</v>
      </c>
      <c r="BK23" s="84">
        <v>1036518</v>
      </c>
      <c r="BL23" s="84">
        <f>1758+7932</f>
        <v>9690</v>
      </c>
      <c r="BM23" s="84">
        <f>2999+19249</f>
        <v>22248</v>
      </c>
      <c r="BN23" s="73">
        <f t="shared" si="2"/>
        <v>4437821.5959999999</v>
      </c>
      <c r="BO23" s="73">
        <f t="shared" si="3"/>
        <v>11336381.128</v>
      </c>
    </row>
    <row r="24" spans="1:67" x14ac:dyDescent="0.25">
      <c r="A24" s="13"/>
    </row>
    <row r="25" spans="1:67" x14ac:dyDescent="0.25">
      <c r="A25" s="28" t="s">
        <v>218</v>
      </c>
    </row>
    <row r="26" spans="1:67" x14ac:dyDescent="0.25">
      <c r="A26" s="3" t="s">
        <v>0</v>
      </c>
      <c r="B26" s="103" t="s">
        <v>1</v>
      </c>
      <c r="C26" s="104"/>
      <c r="D26" s="103" t="s">
        <v>282</v>
      </c>
      <c r="E26" s="104"/>
      <c r="F26" s="103" t="s">
        <v>2</v>
      </c>
      <c r="G26" s="104"/>
      <c r="H26" s="103" t="s">
        <v>3</v>
      </c>
      <c r="I26" s="104"/>
      <c r="J26" s="103" t="s">
        <v>4</v>
      </c>
      <c r="K26" s="104"/>
      <c r="L26" s="103" t="s">
        <v>283</v>
      </c>
      <c r="M26" s="104"/>
      <c r="N26" s="103" t="s">
        <v>6</v>
      </c>
      <c r="O26" s="104"/>
      <c r="P26" s="103" t="s">
        <v>5</v>
      </c>
      <c r="Q26" s="104"/>
      <c r="R26" s="103" t="s">
        <v>7</v>
      </c>
      <c r="S26" s="104"/>
      <c r="T26" s="103" t="s">
        <v>284</v>
      </c>
      <c r="U26" s="104"/>
      <c r="V26" s="103" t="s">
        <v>8</v>
      </c>
      <c r="W26" s="104"/>
      <c r="X26" s="103" t="s">
        <v>9</v>
      </c>
      <c r="Y26" s="104"/>
      <c r="Z26" s="103" t="s">
        <v>10</v>
      </c>
      <c r="AA26" s="104"/>
      <c r="AB26" s="103" t="s">
        <v>304</v>
      </c>
      <c r="AC26" s="104"/>
      <c r="AD26" s="103" t="s">
        <v>11</v>
      </c>
      <c r="AE26" s="104"/>
      <c r="AF26" s="103" t="s">
        <v>12</v>
      </c>
      <c r="AG26" s="104"/>
      <c r="AH26" s="103" t="s">
        <v>285</v>
      </c>
      <c r="AI26" s="104"/>
      <c r="AJ26" s="103" t="s">
        <v>290</v>
      </c>
      <c r="AK26" s="104"/>
      <c r="AL26" s="103" t="s">
        <v>13</v>
      </c>
      <c r="AM26" s="104"/>
      <c r="AN26" s="103" t="s">
        <v>286</v>
      </c>
      <c r="AO26" s="104"/>
      <c r="AP26" s="103" t="s">
        <v>287</v>
      </c>
      <c r="AQ26" s="104"/>
      <c r="AR26" s="103" t="s">
        <v>291</v>
      </c>
      <c r="AS26" s="104"/>
      <c r="AT26" s="103" t="s">
        <v>305</v>
      </c>
      <c r="AU26" s="104"/>
      <c r="AV26" s="103" t="s">
        <v>14</v>
      </c>
      <c r="AW26" s="104"/>
      <c r="AX26" s="103" t="s">
        <v>15</v>
      </c>
      <c r="AY26" s="104"/>
      <c r="AZ26" s="103" t="s">
        <v>16</v>
      </c>
      <c r="BA26" s="104"/>
      <c r="BB26" s="103" t="s">
        <v>17</v>
      </c>
      <c r="BC26" s="104"/>
      <c r="BD26" s="103" t="s">
        <v>18</v>
      </c>
      <c r="BE26" s="104"/>
      <c r="BF26" s="103" t="s">
        <v>288</v>
      </c>
      <c r="BG26" s="104"/>
      <c r="BH26" s="103" t="s">
        <v>289</v>
      </c>
      <c r="BI26" s="104"/>
      <c r="BJ26" s="103" t="s">
        <v>19</v>
      </c>
      <c r="BK26" s="104"/>
      <c r="BL26" s="103" t="s">
        <v>20</v>
      </c>
      <c r="BM26" s="104"/>
      <c r="BN26" s="105" t="s">
        <v>21</v>
      </c>
      <c r="BO26" s="106"/>
    </row>
    <row r="27" spans="1:67" ht="30" x14ac:dyDescent="0.25">
      <c r="A27" s="3"/>
      <c r="B27" s="57" t="s">
        <v>293</v>
      </c>
      <c r="C27" s="58" t="s">
        <v>294</v>
      </c>
      <c r="D27" s="57" t="s">
        <v>293</v>
      </c>
      <c r="E27" s="58" t="s">
        <v>294</v>
      </c>
      <c r="F27" s="57" t="s">
        <v>293</v>
      </c>
      <c r="G27" s="58" t="s">
        <v>294</v>
      </c>
      <c r="H27" s="57" t="s">
        <v>293</v>
      </c>
      <c r="I27" s="58" t="s">
        <v>294</v>
      </c>
      <c r="J27" s="57" t="s">
        <v>293</v>
      </c>
      <c r="K27" s="58" t="s">
        <v>294</v>
      </c>
      <c r="L27" s="57" t="s">
        <v>293</v>
      </c>
      <c r="M27" s="58" t="s">
        <v>294</v>
      </c>
      <c r="N27" s="57" t="s">
        <v>293</v>
      </c>
      <c r="O27" s="58" t="s">
        <v>294</v>
      </c>
      <c r="P27" s="57" t="s">
        <v>293</v>
      </c>
      <c r="Q27" s="58" t="s">
        <v>294</v>
      </c>
      <c r="R27" s="57" t="s">
        <v>293</v>
      </c>
      <c r="S27" s="58" t="s">
        <v>294</v>
      </c>
      <c r="T27" s="57" t="s">
        <v>293</v>
      </c>
      <c r="U27" s="58" t="s">
        <v>294</v>
      </c>
      <c r="V27" s="57" t="s">
        <v>293</v>
      </c>
      <c r="W27" s="58" t="s">
        <v>294</v>
      </c>
      <c r="X27" s="57" t="s">
        <v>293</v>
      </c>
      <c r="Y27" s="58" t="s">
        <v>294</v>
      </c>
      <c r="Z27" s="57" t="s">
        <v>293</v>
      </c>
      <c r="AA27" s="58" t="s">
        <v>294</v>
      </c>
      <c r="AB27" s="57" t="s">
        <v>293</v>
      </c>
      <c r="AC27" s="58" t="s">
        <v>294</v>
      </c>
      <c r="AD27" s="57" t="s">
        <v>293</v>
      </c>
      <c r="AE27" s="58" t="s">
        <v>294</v>
      </c>
      <c r="AF27" s="57" t="s">
        <v>293</v>
      </c>
      <c r="AG27" s="58" t="s">
        <v>294</v>
      </c>
      <c r="AH27" s="57" t="s">
        <v>293</v>
      </c>
      <c r="AI27" s="58" t="s">
        <v>294</v>
      </c>
      <c r="AJ27" s="57" t="s">
        <v>293</v>
      </c>
      <c r="AK27" s="58" t="s">
        <v>294</v>
      </c>
      <c r="AL27" s="57" t="s">
        <v>293</v>
      </c>
      <c r="AM27" s="58" t="s">
        <v>294</v>
      </c>
      <c r="AN27" s="57" t="s">
        <v>293</v>
      </c>
      <c r="AO27" s="58" t="s">
        <v>294</v>
      </c>
      <c r="AP27" s="57" t="s">
        <v>293</v>
      </c>
      <c r="AQ27" s="58" t="s">
        <v>294</v>
      </c>
      <c r="AR27" s="57" t="s">
        <v>293</v>
      </c>
      <c r="AS27" s="58" t="s">
        <v>294</v>
      </c>
      <c r="AT27" s="57" t="s">
        <v>293</v>
      </c>
      <c r="AU27" s="58" t="s">
        <v>294</v>
      </c>
      <c r="AV27" s="57" t="s">
        <v>293</v>
      </c>
      <c r="AW27" s="58" t="s">
        <v>294</v>
      </c>
      <c r="AX27" s="57" t="s">
        <v>293</v>
      </c>
      <c r="AY27" s="58" t="s">
        <v>294</v>
      </c>
      <c r="AZ27" s="57" t="s">
        <v>293</v>
      </c>
      <c r="BA27" s="58" t="s">
        <v>294</v>
      </c>
      <c r="BB27" s="57" t="s">
        <v>293</v>
      </c>
      <c r="BC27" s="58" t="s">
        <v>294</v>
      </c>
      <c r="BD27" s="57" t="s">
        <v>293</v>
      </c>
      <c r="BE27" s="58" t="s">
        <v>294</v>
      </c>
      <c r="BF27" s="57" t="s">
        <v>293</v>
      </c>
      <c r="BG27" s="58" t="s">
        <v>294</v>
      </c>
      <c r="BH27" s="57" t="s">
        <v>293</v>
      </c>
      <c r="BI27" s="58" t="s">
        <v>294</v>
      </c>
      <c r="BJ27" s="57" t="s">
        <v>293</v>
      </c>
      <c r="BK27" s="58" t="s">
        <v>294</v>
      </c>
      <c r="BL27" s="57" t="s">
        <v>293</v>
      </c>
      <c r="BM27" s="58" t="s">
        <v>294</v>
      </c>
      <c r="BN27" s="57" t="s">
        <v>293</v>
      </c>
      <c r="BO27" s="58" t="s">
        <v>294</v>
      </c>
    </row>
    <row r="28" spans="1:67" x14ac:dyDescent="0.25">
      <c r="A28" s="21" t="s">
        <v>228</v>
      </c>
      <c r="B28" s="84">
        <v>218912</v>
      </c>
      <c r="C28" s="84">
        <v>443770</v>
      </c>
      <c r="D28" s="84"/>
      <c r="E28" s="84"/>
      <c r="F28" s="84"/>
      <c r="G28" s="84"/>
      <c r="H28" s="84">
        <v>4304748</v>
      </c>
      <c r="I28" s="84">
        <v>9485850</v>
      </c>
      <c r="J28" s="84">
        <v>2020237</v>
      </c>
      <c r="K28" s="84">
        <v>4230956</v>
      </c>
      <c r="L28" s="84">
        <v>3194027</v>
      </c>
      <c r="M28" s="84">
        <v>7372617</v>
      </c>
      <c r="N28" s="84"/>
      <c r="O28" s="84"/>
      <c r="P28" s="84">
        <v>169547</v>
      </c>
      <c r="Q28" s="84">
        <v>359767</v>
      </c>
      <c r="R28" s="84">
        <v>1648847</v>
      </c>
      <c r="S28" s="84">
        <v>3314964</v>
      </c>
      <c r="T28" s="84">
        <v>867191</v>
      </c>
      <c r="U28" s="84">
        <v>2035168</v>
      </c>
      <c r="V28" s="84">
        <f>799889+2805841</f>
        <v>3605730</v>
      </c>
      <c r="W28" s="84">
        <f>1672969+6527570</f>
        <v>8200539</v>
      </c>
      <c r="X28" s="84">
        <v>8965562</v>
      </c>
      <c r="Y28" s="84">
        <v>20591297</v>
      </c>
      <c r="Z28" s="84">
        <v>4934163</v>
      </c>
      <c r="AA28" s="84">
        <v>11051783</v>
      </c>
      <c r="AB28" s="84">
        <v>261264</v>
      </c>
      <c r="AC28" s="84">
        <v>555229</v>
      </c>
      <c r="AD28" s="84">
        <f>239190+883629</f>
        <v>1122819</v>
      </c>
      <c r="AE28" s="84">
        <f>2102175+389682</f>
        <v>2491857</v>
      </c>
      <c r="AF28" s="84">
        <v>557331</v>
      </c>
      <c r="AG28" s="84">
        <v>1203437</v>
      </c>
      <c r="AH28" s="84"/>
      <c r="AI28" s="84"/>
      <c r="AJ28" s="84"/>
      <c r="AK28" s="84"/>
      <c r="AL28" s="84">
        <v>8160440.3320000004</v>
      </c>
      <c r="AM28" s="84">
        <v>20794494.105</v>
      </c>
      <c r="AN28" s="84">
        <v>35453</v>
      </c>
      <c r="AO28" s="84">
        <v>95371</v>
      </c>
      <c r="AP28" s="84">
        <f>9566+106181</f>
        <v>115747</v>
      </c>
      <c r="AQ28" s="84">
        <f>46119+167665</f>
        <v>213784</v>
      </c>
      <c r="AR28" s="84">
        <v>2858603</v>
      </c>
      <c r="AS28" s="84">
        <v>6699696</v>
      </c>
      <c r="AT28" s="84"/>
      <c r="AU28" s="84"/>
      <c r="AV28" s="84">
        <v>2692209</v>
      </c>
      <c r="AW28" s="84">
        <v>6220983</v>
      </c>
      <c r="AX28" s="84">
        <v>1831702</v>
      </c>
      <c r="AY28" s="84">
        <v>4168649</v>
      </c>
      <c r="AZ28" s="84">
        <v>2033401</v>
      </c>
      <c r="BA28" s="84">
        <v>4631434</v>
      </c>
      <c r="BB28" s="84"/>
      <c r="BC28" s="84"/>
      <c r="BD28" s="84">
        <v>4078898</v>
      </c>
      <c r="BE28" s="84">
        <v>8831133</v>
      </c>
      <c r="BF28" s="84">
        <v>14759544</v>
      </c>
      <c r="BG28" s="84">
        <v>34756871</v>
      </c>
      <c r="BH28" s="84">
        <v>5512665</v>
      </c>
      <c r="BI28" s="84">
        <v>13755584</v>
      </c>
      <c r="BJ28" s="84">
        <v>7495787</v>
      </c>
      <c r="BK28" s="84">
        <v>18819214</v>
      </c>
      <c r="BL28" s="84">
        <f>143999+986845</f>
        <v>1130844</v>
      </c>
      <c r="BM28" s="84">
        <f>409301+2237032</f>
        <v>2646333</v>
      </c>
      <c r="BN28" s="73">
        <f t="shared" ref="BN28:BN34" si="4">SUM(B28+D28+F28+H28+J28+L28+N28+P28+R28+T28+V28+X28+Z28+AB28+AD28+AF28+AH28+AJ28+AL28+AN28+AP28+AR28+AT28+AV28+AX28+AZ28+BB28+BD28+BF28+BH28+BJ28+BL28)</f>
        <v>82575671.332000002</v>
      </c>
      <c r="BO28" s="73">
        <f t="shared" ref="BO28:BO34" si="5">SUM(C28+E28+G28+I28+K28+M28+O28+Q28+S28+U28+W28+Y28+AA28+AC28+AE28+AG28+AI28+AK28+AM28+AO28+AQ28+AS28+AU28+AW28+AY28+BA28+BC28+BE28+BG28+BI28+BK28+BM28)</f>
        <v>192970780.10500002</v>
      </c>
    </row>
    <row r="29" spans="1:67" x14ac:dyDescent="0.25">
      <c r="A29" s="21" t="s">
        <v>279</v>
      </c>
      <c r="B29" s="84">
        <v>845564</v>
      </c>
      <c r="C29" s="84">
        <v>845564</v>
      </c>
      <c r="D29" s="84"/>
      <c r="E29" s="84"/>
      <c r="F29" s="84"/>
      <c r="G29" s="84"/>
      <c r="H29" s="84">
        <v>3206942</v>
      </c>
      <c r="I29" s="84">
        <v>84142566</v>
      </c>
      <c r="J29" s="84">
        <v>99583</v>
      </c>
      <c r="K29" s="84">
        <v>23064502</v>
      </c>
      <c r="L29" s="84">
        <v>60470585</v>
      </c>
      <c r="M29" s="84">
        <v>60470585</v>
      </c>
      <c r="N29" s="84"/>
      <c r="O29" s="84"/>
      <c r="P29" s="84">
        <v>313094</v>
      </c>
      <c r="Q29" s="84">
        <v>313094</v>
      </c>
      <c r="R29" s="84">
        <v>20614941</v>
      </c>
      <c r="S29" s="84">
        <v>20614941</v>
      </c>
      <c r="T29" s="84">
        <v>15644737</v>
      </c>
      <c r="U29" s="84">
        <v>15644737</v>
      </c>
      <c r="V29" s="84">
        <f>47395814+3283006</f>
        <v>50678820</v>
      </c>
      <c r="W29" s="84">
        <f>47395814+3283006</f>
        <v>50678820</v>
      </c>
      <c r="X29" s="84">
        <v>116501766</v>
      </c>
      <c r="Y29" s="84">
        <v>116501766</v>
      </c>
      <c r="Z29" s="84">
        <v>2544350</v>
      </c>
      <c r="AA29" s="84">
        <v>53758991</v>
      </c>
      <c r="AB29" s="84">
        <v>2939619</v>
      </c>
      <c r="AC29" s="84">
        <v>2939619</v>
      </c>
      <c r="AD29" s="84">
        <f>9657889+750833</f>
        <v>10408722</v>
      </c>
      <c r="AE29" s="84">
        <f>750833+9657889</f>
        <v>10408722</v>
      </c>
      <c r="AF29" s="84">
        <v>18301820</v>
      </c>
      <c r="AG29" s="84">
        <v>18301820</v>
      </c>
      <c r="AH29" s="84"/>
      <c r="AI29" s="84"/>
      <c r="AJ29" s="84"/>
      <c r="AK29" s="84"/>
      <c r="AL29" s="84">
        <v>2134106.9544407427</v>
      </c>
      <c r="AM29" s="84">
        <v>147625940.18144667</v>
      </c>
      <c r="AN29" s="84">
        <v>910093</v>
      </c>
      <c r="AO29" s="84">
        <v>910093</v>
      </c>
      <c r="AP29" s="84">
        <f>124900+79218</f>
        <v>204118</v>
      </c>
      <c r="AQ29" s="84">
        <f>2291977+136956</f>
        <v>2428933</v>
      </c>
      <c r="AR29" s="84">
        <v>52917737</v>
      </c>
      <c r="AS29" s="84">
        <v>52917737</v>
      </c>
      <c r="AT29" s="84"/>
      <c r="AU29" s="84"/>
      <c r="AV29" s="84">
        <v>1721331</v>
      </c>
      <c r="AW29" s="84">
        <v>39296619</v>
      </c>
      <c r="AX29" s="84">
        <v>19087015</v>
      </c>
      <c r="AY29" s="84">
        <v>19087015</v>
      </c>
      <c r="AZ29" s="84">
        <v>70737327</v>
      </c>
      <c r="BA29" s="84">
        <v>70737327</v>
      </c>
      <c r="BB29" s="84"/>
      <c r="BC29" s="84"/>
      <c r="BD29" s="84">
        <v>54627622</v>
      </c>
      <c r="BE29" s="84">
        <v>54627622</v>
      </c>
      <c r="BF29" s="84">
        <v>214478616</v>
      </c>
      <c r="BG29" s="84">
        <v>214478616</v>
      </c>
      <c r="BH29" s="84">
        <v>3636999</v>
      </c>
      <c r="BI29" s="84">
        <v>123006481</v>
      </c>
      <c r="BJ29" s="84">
        <v>187765833</v>
      </c>
      <c r="BK29" s="84">
        <v>187765833</v>
      </c>
      <c r="BL29" s="84">
        <f>671009+189029</f>
        <v>860038</v>
      </c>
      <c r="BM29" s="84">
        <f>11647680+1135636</f>
        <v>12783316</v>
      </c>
      <c r="BN29" s="73">
        <f t="shared" si="4"/>
        <v>911651378.95444071</v>
      </c>
      <c r="BO29" s="73">
        <f t="shared" si="5"/>
        <v>1383351259.1814466</v>
      </c>
    </row>
    <row r="30" spans="1:67" x14ac:dyDescent="0.25">
      <c r="A30" s="21" t="s">
        <v>278</v>
      </c>
      <c r="B30" s="84">
        <v>715796</v>
      </c>
      <c r="C30" s="84">
        <v>598782</v>
      </c>
      <c r="D30" s="84"/>
      <c r="E30" s="84"/>
      <c r="F30" s="84"/>
      <c r="G30" s="84"/>
      <c r="H30" s="84"/>
      <c r="I30" s="84">
        <v>70960655</v>
      </c>
      <c r="J30" s="84"/>
      <c r="K30" s="84">
        <v>20789158</v>
      </c>
      <c r="L30" s="84">
        <v>58218288</v>
      </c>
      <c r="M30" s="84">
        <v>52128510</v>
      </c>
      <c r="N30" s="84"/>
      <c r="O30" s="84"/>
      <c r="P30" s="84">
        <v>237696</v>
      </c>
      <c r="Q30" s="84">
        <v>455885</v>
      </c>
      <c r="R30" s="84">
        <v>20043792</v>
      </c>
      <c r="S30" s="84">
        <v>17797715</v>
      </c>
      <c r="T30" s="84">
        <v>12954300</v>
      </c>
      <c r="U30" s="84">
        <v>8762277</v>
      </c>
      <c r="V30" s="84">
        <f>-44601506-4053796</f>
        <v>-48655302</v>
      </c>
      <c r="W30" s="84">
        <f>-38952857-2457740</f>
        <v>-41410597</v>
      </c>
      <c r="X30" s="84">
        <v>114393946</v>
      </c>
      <c r="Y30" s="84">
        <v>105539066</v>
      </c>
      <c r="Z30" s="84"/>
      <c r="AA30" s="84">
        <v>44577678</v>
      </c>
      <c r="AB30" s="84">
        <v>2703956</v>
      </c>
      <c r="AC30" s="84">
        <v>2186158</v>
      </c>
      <c r="AD30" s="84">
        <f>9091961+755547</f>
        <v>9847508</v>
      </c>
      <c r="AE30" s="84">
        <f>695486+8003610</f>
        <v>8699096</v>
      </c>
      <c r="AF30" s="84">
        <v>-17203549</v>
      </c>
      <c r="AG30" s="84">
        <v>-14445655</v>
      </c>
      <c r="AH30" s="84"/>
      <c r="AI30" s="84"/>
      <c r="AJ30" s="84"/>
      <c r="AK30" s="84"/>
      <c r="AL30" s="84">
        <v>-2.0000040531158447E-3</v>
      </c>
      <c r="AM30" s="84">
        <v>139204959.11400002</v>
      </c>
      <c r="AN30" s="84">
        <v>-857069</v>
      </c>
      <c r="AO30" s="84">
        <v>-662365</v>
      </c>
      <c r="AP30" s="84"/>
      <c r="AQ30" s="84">
        <f>1761113+7804</f>
        <v>1768917</v>
      </c>
      <c r="AR30" s="84">
        <v>51289400</v>
      </c>
      <c r="AS30" s="84">
        <v>46572451</v>
      </c>
      <c r="AT30" s="84"/>
      <c r="AU30" s="84"/>
      <c r="AV30" s="84"/>
      <c r="AW30" s="84">
        <v>-33256984</v>
      </c>
      <c r="AX30" s="84">
        <v>18404993</v>
      </c>
      <c r="AY30" s="84">
        <v>16290500</v>
      </c>
      <c r="AZ30" s="84">
        <v>68063348</v>
      </c>
      <c r="BA30" s="84">
        <v>62221302</v>
      </c>
      <c r="BB30" s="84"/>
      <c r="BC30" s="84"/>
      <c r="BD30" s="84">
        <v>51111675</v>
      </c>
      <c r="BE30" s="84">
        <v>42192986</v>
      </c>
      <c r="BF30" s="84">
        <v>206358326</v>
      </c>
      <c r="BG30" s="84">
        <v>194212361</v>
      </c>
      <c r="BH30" s="84">
        <v>0</v>
      </c>
      <c r="BI30" s="84">
        <v>112024437</v>
      </c>
      <c r="BJ30" s="84">
        <v>182020977</v>
      </c>
      <c r="BK30" s="84">
        <v>173596503</v>
      </c>
      <c r="BL30" s="84"/>
      <c r="BM30" s="84">
        <f>9300971+573632</f>
        <v>9874603</v>
      </c>
      <c r="BN30" s="73">
        <f t="shared" si="4"/>
        <v>729648080.99800003</v>
      </c>
      <c r="BO30" s="73">
        <f t="shared" si="5"/>
        <v>1040678398.1140001</v>
      </c>
    </row>
    <row r="31" spans="1:67" x14ac:dyDescent="0.25">
      <c r="A31" s="21" t="s">
        <v>281</v>
      </c>
      <c r="B31" s="84"/>
      <c r="C31" s="84"/>
      <c r="D31" s="84"/>
      <c r="E31" s="84"/>
      <c r="F31" s="84"/>
      <c r="G31" s="84"/>
      <c r="H31" s="84">
        <v>7511690</v>
      </c>
      <c r="I31" s="84">
        <v>22667761</v>
      </c>
      <c r="J31" s="84"/>
      <c r="K31" s="84"/>
      <c r="L31" s="84">
        <v>5446324</v>
      </c>
      <c r="M31" s="84">
        <v>15714692</v>
      </c>
      <c r="N31" s="84"/>
      <c r="O31" s="84"/>
      <c r="P31" s="84">
        <v>244945</v>
      </c>
      <c r="Q31" s="84">
        <v>216976</v>
      </c>
      <c r="R31" s="84"/>
      <c r="S31" s="84"/>
      <c r="T31" s="84"/>
      <c r="U31" s="84"/>
      <c r="V31" s="84">
        <f>3594198+2035050</f>
        <v>5629248</v>
      </c>
      <c r="W31" s="84">
        <f>10115926+7352836</f>
        <v>17468762</v>
      </c>
      <c r="X31" s="84">
        <v>11073382</v>
      </c>
      <c r="Y31" s="84">
        <v>31553997</v>
      </c>
      <c r="Z31" s="84">
        <v>7478513</v>
      </c>
      <c r="AA31" s="84">
        <v>20233096</v>
      </c>
      <c r="AB31" s="84">
        <v>496927</v>
      </c>
      <c r="AC31" s="84">
        <v>1308690</v>
      </c>
      <c r="AD31" s="84">
        <f>805117+878915</f>
        <v>1684032</v>
      </c>
      <c r="AE31" s="84">
        <f>2157522+2043960</f>
        <v>4201482</v>
      </c>
      <c r="AF31" s="84">
        <v>1655602</v>
      </c>
      <c r="AG31" s="84">
        <v>5059602</v>
      </c>
      <c r="AH31" s="84"/>
      <c r="AI31" s="84"/>
      <c r="AJ31" s="84"/>
      <c r="AK31" s="84"/>
      <c r="AL31" s="84"/>
      <c r="AM31" s="84"/>
      <c r="AN31" s="84">
        <v>88477</v>
      </c>
      <c r="AO31" s="84">
        <v>343098</v>
      </c>
      <c r="AP31" s="84">
        <f>134466+185399</f>
        <v>319865</v>
      </c>
      <c r="AQ31" s="84">
        <f>576984+296817</f>
        <v>873801</v>
      </c>
      <c r="AR31" s="84"/>
      <c r="AS31" s="84"/>
      <c r="AT31" s="84"/>
      <c r="AU31" s="84"/>
      <c r="AV31" s="84">
        <v>4413540</v>
      </c>
      <c r="AW31" s="84">
        <v>12260618</v>
      </c>
      <c r="AX31" s="84"/>
      <c r="AY31" s="84"/>
      <c r="AZ31" s="84"/>
      <c r="BA31" s="84"/>
      <c r="BB31" s="84"/>
      <c r="BC31" s="84"/>
      <c r="BD31" s="84">
        <v>7594845</v>
      </c>
      <c r="BE31" s="84">
        <v>21265769</v>
      </c>
      <c r="BF31" s="84">
        <v>22879835</v>
      </c>
      <c r="BG31" s="84">
        <v>55023126</v>
      </c>
      <c r="BH31" s="84">
        <v>9149664</v>
      </c>
      <c r="BI31" s="84">
        <v>24737628</v>
      </c>
      <c r="BJ31" s="84">
        <v>13240643</v>
      </c>
      <c r="BK31" s="84">
        <v>32988544</v>
      </c>
      <c r="BL31" s="84">
        <f>815008+1175874</f>
        <v>1990882</v>
      </c>
      <c r="BM31" s="84">
        <f>2756010+2799036</f>
        <v>5555046</v>
      </c>
      <c r="BN31" s="73">
        <f t="shared" si="4"/>
        <v>100898414</v>
      </c>
      <c r="BO31" s="73">
        <f t="shared" si="5"/>
        <v>271472688</v>
      </c>
    </row>
    <row r="32" spans="1:67" x14ac:dyDescent="0.25">
      <c r="A32" s="21" t="s">
        <v>276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>
        <v>78380</v>
      </c>
      <c r="U32" s="84">
        <v>172367</v>
      </c>
      <c r="V32" s="84"/>
      <c r="W32" s="84"/>
      <c r="X32" s="84">
        <v>13779</v>
      </c>
      <c r="Y32" s="84">
        <v>46405</v>
      </c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>
        <v>0</v>
      </c>
      <c r="AM32" s="84">
        <v>478.339</v>
      </c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>
        <v>49185</v>
      </c>
      <c r="BG32" s="84">
        <v>100945</v>
      </c>
      <c r="BH32" s="84">
        <v>44366</v>
      </c>
      <c r="BI32" s="84">
        <v>8539</v>
      </c>
      <c r="BJ32" s="84">
        <v>-3</v>
      </c>
      <c r="BK32" s="84">
        <v>-14</v>
      </c>
      <c r="BL32" s="84"/>
      <c r="BM32" s="84"/>
      <c r="BN32" s="73">
        <f t="shared" si="4"/>
        <v>185707</v>
      </c>
      <c r="BO32" s="73">
        <f t="shared" si="5"/>
        <v>328720.33900000004</v>
      </c>
    </row>
    <row r="33" spans="1:67" x14ac:dyDescent="0.25">
      <c r="A33" s="21" t="s">
        <v>277</v>
      </c>
      <c r="B33" s="84">
        <v>136350</v>
      </c>
      <c r="C33" s="84">
        <v>279747</v>
      </c>
      <c r="D33" s="84"/>
      <c r="E33" s="84"/>
      <c r="F33" s="84"/>
      <c r="G33" s="84"/>
      <c r="H33" s="84">
        <v>385213</v>
      </c>
      <c r="I33" s="84">
        <v>818965</v>
      </c>
      <c r="J33" s="84">
        <v>151748</v>
      </c>
      <c r="K33" s="84">
        <v>281003</v>
      </c>
      <c r="L33" s="84">
        <v>677070</v>
      </c>
      <c r="M33" s="84">
        <v>1639584</v>
      </c>
      <c r="N33" s="84"/>
      <c r="O33" s="84"/>
      <c r="P33" s="84">
        <v>13581</v>
      </c>
      <c r="Q33" s="84">
        <v>-420582</v>
      </c>
      <c r="R33" s="84">
        <v>128933</v>
      </c>
      <c r="S33" s="84">
        <v>247414</v>
      </c>
      <c r="T33" s="84">
        <v>154978</v>
      </c>
      <c r="U33" s="84">
        <v>433096</v>
      </c>
      <c r="V33" s="84">
        <f>-363023-430936+659493-52237+5652452-7222826</f>
        <v>-1757077</v>
      </c>
      <c r="W33" s="84">
        <f>-961194-430936+521221-2292897-7222826+5727226</f>
        <v>-4659406</v>
      </c>
      <c r="X33" s="84">
        <v>1012719</v>
      </c>
      <c r="Y33" s="84">
        <v>2736679</v>
      </c>
      <c r="Z33" s="84">
        <v>1230302</v>
      </c>
      <c r="AA33" s="84">
        <v>2842619</v>
      </c>
      <c r="AB33" s="84">
        <v>13629</v>
      </c>
      <c r="AC33" s="84">
        <v>28310</v>
      </c>
      <c r="AD33" s="84">
        <f>11866+42988</f>
        <v>54854</v>
      </c>
      <c r="AE33" s="84">
        <f>101474+19347</f>
        <v>120821</v>
      </c>
      <c r="AF33" s="84">
        <v>-297351</v>
      </c>
      <c r="AG33" s="84">
        <v>-641926</v>
      </c>
      <c r="AH33" s="84"/>
      <c r="AI33" s="84"/>
      <c r="AJ33" s="84"/>
      <c r="AK33" s="84"/>
      <c r="AL33" s="84">
        <v>1307607.5049999999</v>
      </c>
      <c r="AM33" s="84">
        <v>3573850.5489999996</v>
      </c>
      <c r="AN33" s="84">
        <v>-1774</v>
      </c>
      <c r="AO33" s="84">
        <v>-4769</v>
      </c>
      <c r="AP33" s="84">
        <f>484+5309</f>
        <v>5793</v>
      </c>
      <c r="AQ33" s="84">
        <f>2305+8383</f>
        <v>10688</v>
      </c>
      <c r="AR33" s="84">
        <v>685249</v>
      </c>
      <c r="AS33" s="84">
        <v>1600698</v>
      </c>
      <c r="AT33" s="84"/>
      <c r="AU33" s="84"/>
      <c r="AV33" s="84">
        <v>-582061</v>
      </c>
      <c r="AW33" s="84">
        <v>-1332197</v>
      </c>
      <c r="AX33" s="84">
        <v>423747</v>
      </c>
      <c r="AY33" s="84">
        <v>947228</v>
      </c>
      <c r="AZ33" s="84">
        <v>104059</v>
      </c>
      <c r="BA33" s="84">
        <v>252424</v>
      </c>
      <c r="BB33" s="84"/>
      <c r="BC33" s="84"/>
      <c r="BD33" s="84">
        <v>1201820</v>
      </c>
      <c r="BE33" s="84">
        <v>227796</v>
      </c>
      <c r="BF33" s="84">
        <v>899692</v>
      </c>
      <c r="BG33" s="84">
        <v>1935754</v>
      </c>
      <c r="BH33" s="84">
        <v>966532</v>
      </c>
      <c r="BI33" s="84">
        <v>1999681</v>
      </c>
      <c r="BJ33" s="84">
        <v>698041</v>
      </c>
      <c r="BK33" s="84">
        <v>1361258</v>
      </c>
      <c r="BL33" s="84">
        <f>8644+49372</f>
        <v>58016</v>
      </c>
      <c r="BM33" s="84">
        <f>22125+113846</f>
        <v>135971</v>
      </c>
      <c r="BN33" s="73">
        <f t="shared" si="4"/>
        <v>7671670.5049999999</v>
      </c>
      <c r="BO33" s="73">
        <f t="shared" si="5"/>
        <v>14414706.548999999</v>
      </c>
    </row>
    <row r="34" spans="1:67" x14ac:dyDescent="0.25">
      <c r="A34" s="21" t="s">
        <v>273</v>
      </c>
      <c r="B34" s="84">
        <v>212330</v>
      </c>
      <c r="C34" s="84">
        <v>410805</v>
      </c>
      <c r="D34" s="84"/>
      <c r="E34" s="84"/>
      <c r="F34" s="84"/>
      <c r="G34" s="84"/>
      <c r="H34" s="84">
        <v>7126477</v>
      </c>
      <c r="I34" s="84">
        <v>21848796</v>
      </c>
      <c r="J34" s="84">
        <v>1968073</v>
      </c>
      <c r="K34" s="84">
        <v>6225297</v>
      </c>
      <c r="L34" s="84">
        <v>4769254</v>
      </c>
      <c r="M34" s="84">
        <v>14075108</v>
      </c>
      <c r="N34" s="84"/>
      <c r="O34" s="84"/>
      <c r="P34" s="84">
        <v>231364</v>
      </c>
      <c r="Q34" s="84">
        <v>637558</v>
      </c>
      <c r="R34" s="84">
        <v>2091063</v>
      </c>
      <c r="S34" s="84">
        <v>5884776</v>
      </c>
      <c r="T34" s="84">
        <v>3481031</v>
      </c>
      <c r="U34" s="84">
        <v>8656899</v>
      </c>
      <c r="V34" s="84">
        <f>1971587+1900583</f>
        <v>3872170</v>
      </c>
      <c r="W34" s="84">
        <f>6327430+6481927</f>
        <v>12809357</v>
      </c>
      <c r="X34" s="84">
        <v>10211600</v>
      </c>
      <c r="Y34" s="84">
        <v>28938225</v>
      </c>
      <c r="Z34" s="84">
        <v>6248211</v>
      </c>
      <c r="AA34" s="84">
        <v>17390477</v>
      </c>
      <c r="AB34" s="84">
        <v>483298</v>
      </c>
      <c r="AC34" s="84">
        <v>1280380</v>
      </c>
      <c r="AD34" s="84">
        <f>827414+766125</f>
        <v>1593539</v>
      </c>
      <c r="AE34" s="84">
        <f>2044611+1938821</f>
        <v>3983432</v>
      </c>
      <c r="AF34" s="84">
        <v>1342317</v>
      </c>
      <c r="AG34" s="84">
        <v>4041639</v>
      </c>
      <c r="AH34" s="84"/>
      <c r="AI34" s="84"/>
      <c r="AJ34" s="84"/>
      <c r="AK34" s="84"/>
      <c r="AL34" s="84">
        <v>8986939.7834407464</v>
      </c>
      <c r="AM34" s="84">
        <v>25642102.96244666</v>
      </c>
      <c r="AN34" s="84">
        <v>84052</v>
      </c>
      <c r="AO34" s="84">
        <v>325943</v>
      </c>
      <c r="AP34" s="84">
        <f>133982+180090</f>
        <v>314072</v>
      </c>
      <c r="AQ34" s="84">
        <f>574678+288434</f>
        <v>863112</v>
      </c>
      <c r="AR34" s="84">
        <v>3801691</v>
      </c>
      <c r="AS34" s="84">
        <v>11444284</v>
      </c>
      <c r="AT34" s="84"/>
      <c r="AU34" s="84"/>
      <c r="AV34" s="84">
        <v>3748766</v>
      </c>
      <c r="AW34" s="84">
        <v>10443681</v>
      </c>
      <c r="AX34" s="84">
        <v>2089977</v>
      </c>
      <c r="AY34" s="84">
        <v>6017936</v>
      </c>
      <c r="AZ34" s="84">
        <v>4603321</v>
      </c>
      <c r="BA34" s="84">
        <v>12895034</v>
      </c>
      <c r="BB34" s="84"/>
      <c r="BC34" s="84"/>
      <c r="BD34" s="84">
        <v>6393025</v>
      </c>
      <c r="BE34" s="84">
        <v>18537973</v>
      </c>
      <c r="BF34" s="84">
        <v>21215469</v>
      </c>
      <c r="BG34" s="84">
        <v>52063039</v>
      </c>
      <c r="BH34" s="84">
        <v>8227498</v>
      </c>
      <c r="BI34" s="84">
        <v>22746486</v>
      </c>
      <c r="BJ34" s="84">
        <v>12542599</v>
      </c>
      <c r="BK34" s="84">
        <v>31627272</v>
      </c>
      <c r="BL34" s="84">
        <f>806364+1126502</f>
        <v>1932866</v>
      </c>
      <c r="BM34" s="84">
        <f>2733885+2685190</f>
        <v>5419075</v>
      </c>
      <c r="BN34" s="73">
        <f t="shared" si="4"/>
        <v>117571002.78344074</v>
      </c>
      <c r="BO34" s="73">
        <f t="shared" si="5"/>
        <v>324208686.96244669</v>
      </c>
    </row>
    <row r="35" spans="1:67" x14ac:dyDescent="0.25">
      <c r="A35" s="13"/>
    </row>
    <row r="36" spans="1:67" x14ac:dyDescent="0.25">
      <c r="A36" s="28" t="s">
        <v>219</v>
      </c>
    </row>
    <row r="37" spans="1:67" x14ac:dyDescent="0.25">
      <c r="A37" s="3" t="s">
        <v>0</v>
      </c>
      <c r="B37" s="103" t="s">
        <v>1</v>
      </c>
      <c r="C37" s="104"/>
      <c r="D37" s="103" t="s">
        <v>282</v>
      </c>
      <c r="E37" s="104"/>
      <c r="F37" s="103" t="s">
        <v>2</v>
      </c>
      <c r="G37" s="104"/>
      <c r="H37" s="103" t="s">
        <v>3</v>
      </c>
      <c r="I37" s="104"/>
      <c r="J37" s="103" t="s">
        <v>4</v>
      </c>
      <c r="K37" s="104"/>
      <c r="L37" s="103" t="s">
        <v>283</v>
      </c>
      <c r="M37" s="104"/>
      <c r="N37" s="103" t="s">
        <v>6</v>
      </c>
      <c r="O37" s="104"/>
      <c r="P37" s="103" t="s">
        <v>5</v>
      </c>
      <c r="Q37" s="104"/>
      <c r="R37" s="103" t="s">
        <v>7</v>
      </c>
      <c r="S37" s="104"/>
      <c r="T37" s="103" t="s">
        <v>284</v>
      </c>
      <c r="U37" s="104"/>
      <c r="V37" s="103" t="s">
        <v>8</v>
      </c>
      <c r="W37" s="104"/>
      <c r="X37" s="103" t="s">
        <v>9</v>
      </c>
      <c r="Y37" s="104"/>
      <c r="Z37" s="103" t="s">
        <v>10</v>
      </c>
      <c r="AA37" s="104"/>
      <c r="AB37" s="103" t="s">
        <v>304</v>
      </c>
      <c r="AC37" s="104"/>
      <c r="AD37" s="103" t="s">
        <v>11</v>
      </c>
      <c r="AE37" s="104"/>
      <c r="AF37" s="103" t="s">
        <v>12</v>
      </c>
      <c r="AG37" s="104"/>
      <c r="AH37" s="103" t="s">
        <v>285</v>
      </c>
      <c r="AI37" s="104"/>
      <c r="AJ37" s="103" t="s">
        <v>290</v>
      </c>
      <c r="AK37" s="104"/>
      <c r="AL37" s="103" t="s">
        <v>13</v>
      </c>
      <c r="AM37" s="104"/>
      <c r="AN37" s="103" t="s">
        <v>286</v>
      </c>
      <c r="AO37" s="104"/>
      <c r="AP37" s="103" t="s">
        <v>287</v>
      </c>
      <c r="AQ37" s="104"/>
      <c r="AR37" s="103" t="s">
        <v>291</v>
      </c>
      <c r="AS37" s="104"/>
      <c r="AT37" s="103" t="s">
        <v>305</v>
      </c>
      <c r="AU37" s="104"/>
      <c r="AV37" s="103" t="s">
        <v>14</v>
      </c>
      <c r="AW37" s="104"/>
      <c r="AX37" s="103" t="s">
        <v>15</v>
      </c>
      <c r="AY37" s="104"/>
      <c r="AZ37" s="103" t="s">
        <v>16</v>
      </c>
      <c r="BA37" s="104"/>
      <c r="BB37" s="103" t="s">
        <v>17</v>
      </c>
      <c r="BC37" s="104"/>
      <c r="BD37" s="103" t="s">
        <v>18</v>
      </c>
      <c r="BE37" s="104"/>
      <c r="BF37" s="103" t="s">
        <v>288</v>
      </c>
      <c r="BG37" s="104"/>
      <c r="BH37" s="103" t="s">
        <v>289</v>
      </c>
      <c r="BI37" s="104"/>
      <c r="BJ37" s="103" t="s">
        <v>19</v>
      </c>
      <c r="BK37" s="104"/>
      <c r="BL37" s="103" t="s">
        <v>20</v>
      </c>
      <c r="BM37" s="104"/>
      <c r="BN37" s="105" t="s">
        <v>21</v>
      </c>
      <c r="BO37" s="106"/>
    </row>
    <row r="38" spans="1:67" ht="30" x14ac:dyDescent="0.25">
      <c r="A38" s="3"/>
      <c r="B38" s="57" t="s">
        <v>293</v>
      </c>
      <c r="C38" s="58" t="s">
        <v>294</v>
      </c>
      <c r="D38" s="57" t="s">
        <v>293</v>
      </c>
      <c r="E38" s="58" t="s">
        <v>294</v>
      </c>
      <c r="F38" s="57" t="s">
        <v>293</v>
      </c>
      <c r="G38" s="58" t="s">
        <v>294</v>
      </c>
      <c r="H38" s="57" t="s">
        <v>293</v>
      </c>
      <c r="I38" s="58" t="s">
        <v>294</v>
      </c>
      <c r="J38" s="57" t="s">
        <v>293</v>
      </c>
      <c r="K38" s="58" t="s">
        <v>294</v>
      </c>
      <c r="L38" s="57" t="s">
        <v>293</v>
      </c>
      <c r="M38" s="58" t="s">
        <v>294</v>
      </c>
      <c r="N38" s="57" t="s">
        <v>293</v>
      </c>
      <c r="O38" s="58" t="s">
        <v>294</v>
      </c>
      <c r="P38" s="57" t="s">
        <v>293</v>
      </c>
      <c r="Q38" s="58" t="s">
        <v>294</v>
      </c>
      <c r="R38" s="57" t="s">
        <v>293</v>
      </c>
      <c r="S38" s="58" t="s">
        <v>294</v>
      </c>
      <c r="T38" s="57" t="s">
        <v>293</v>
      </c>
      <c r="U38" s="58" t="s">
        <v>294</v>
      </c>
      <c r="V38" s="57" t="s">
        <v>293</v>
      </c>
      <c r="W38" s="58" t="s">
        <v>294</v>
      </c>
      <c r="X38" s="57" t="s">
        <v>293</v>
      </c>
      <c r="Y38" s="58" t="s">
        <v>294</v>
      </c>
      <c r="Z38" s="57" t="s">
        <v>293</v>
      </c>
      <c r="AA38" s="58" t="s">
        <v>294</v>
      </c>
      <c r="AB38" s="57" t="s">
        <v>293</v>
      </c>
      <c r="AC38" s="58" t="s">
        <v>294</v>
      </c>
      <c r="AD38" s="57" t="s">
        <v>293</v>
      </c>
      <c r="AE38" s="58" t="s">
        <v>294</v>
      </c>
      <c r="AF38" s="57" t="s">
        <v>293</v>
      </c>
      <c r="AG38" s="58" t="s">
        <v>294</v>
      </c>
      <c r="AH38" s="57" t="s">
        <v>293</v>
      </c>
      <c r="AI38" s="58" t="s">
        <v>294</v>
      </c>
      <c r="AJ38" s="57" t="s">
        <v>293</v>
      </c>
      <c r="AK38" s="58" t="s">
        <v>294</v>
      </c>
      <c r="AL38" s="57" t="s">
        <v>293</v>
      </c>
      <c r="AM38" s="58" t="s">
        <v>294</v>
      </c>
      <c r="AN38" s="57" t="s">
        <v>293</v>
      </c>
      <c r="AO38" s="58" t="s">
        <v>294</v>
      </c>
      <c r="AP38" s="57" t="s">
        <v>293</v>
      </c>
      <c r="AQ38" s="58" t="s">
        <v>294</v>
      </c>
      <c r="AR38" s="57" t="s">
        <v>293</v>
      </c>
      <c r="AS38" s="58" t="s">
        <v>294</v>
      </c>
      <c r="AT38" s="57" t="s">
        <v>293</v>
      </c>
      <c r="AU38" s="58" t="s">
        <v>294</v>
      </c>
      <c r="AV38" s="57" t="s">
        <v>293</v>
      </c>
      <c r="AW38" s="58" t="s">
        <v>294</v>
      </c>
      <c r="AX38" s="57" t="s">
        <v>293</v>
      </c>
      <c r="AY38" s="58" t="s">
        <v>294</v>
      </c>
      <c r="AZ38" s="57" t="s">
        <v>293</v>
      </c>
      <c r="BA38" s="58" t="s">
        <v>294</v>
      </c>
      <c r="BB38" s="57" t="s">
        <v>293</v>
      </c>
      <c r="BC38" s="58" t="s">
        <v>294</v>
      </c>
      <c r="BD38" s="57" t="s">
        <v>293</v>
      </c>
      <c r="BE38" s="58" t="s">
        <v>294</v>
      </c>
      <c r="BF38" s="57" t="s">
        <v>293</v>
      </c>
      <c r="BG38" s="58" t="s">
        <v>294</v>
      </c>
      <c r="BH38" s="57" t="s">
        <v>293</v>
      </c>
      <c r="BI38" s="58" t="s">
        <v>294</v>
      </c>
      <c r="BJ38" s="57" t="s">
        <v>293</v>
      </c>
      <c r="BK38" s="58" t="s">
        <v>294</v>
      </c>
      <c r="BL38" s="57" t="s">
        <v>293</v>
      </c>
      <c r="BM38" s="58" t="s">
        <v>294</v>
      </c>
      <c r="BN38" s="57" t="s">
        <v>293</v>
      </c>
      <c r="BO38" s="58" t="s">
        <v>294</v>
      </c>
    </row>
    <row r="39" spans="1:67" x14ac:dyDescent="0.25">
      <c r="A39" s="21" t="s">
        <v>228</v>
      </c>
      <c r="B39" s="84"/>
      <c r="C39" s="84"/>
      <c r="D39" s="84"/>
      <c r="E39" s="84"/>
      <c r="F39" s="84"/>
      <c r="G39" s="84"/>
      <c r="H39" s="84">
        <v>174531</v>
      </c>
      <c r="I39" s="84">
        <v>373376</v>
      </c>
      <c r="J39" s="84">
        <v>45839</v>
      </c>
      <c r="K39" s="84">
        <v>69904</v>
      </c>
      <c r="L39" s="84">
        <v>18678</v>
      </c>
      <c r="M39" s="84">
        <v>43413</v>
      </c>
      <c r="N39" s="84"/>
      <c r="O39" s="84"/>
      <c r="P39" s="84"/>
      <c r="Q39" s="84"/>
      <c r="R39" s="84">
        <v>24575</v>
      </c>
      <c r="S39" s="84">
        <v>67424</v>
      </c>
      <c r="T39" s="84">
        <v>2429</v>
      </c>
      <c r="U39" s="84">
        <v>3034</v>
      </c>
      <c r="V39" s="84">
        <v>174597</v>
      </c>
      <c r="W39" s="84">
        <v>483726</v>
      </c>
      <c r="X39" s="84">
        <v>298957</v>
      </c>
      <c r="Y39" s="84">
        <v>1077554</v>
      </c>
      <c r="Z39" s="84">
        <v>67769</v>
      </c>
      <c r="AA39" s="84">
        <v>298010</v>
      </c>
      <c r="AB39" s="84">
        <v>21</v>
      </c>
      <c r="AC39" s="84">
        <v>350</v>
      </c>
      <c r="AD39" s="84">
        <v>27478</v>
      </c>
      <c r="AE39" s="84">
        <v>91521</v>
      </c>
      <c r="AF39" s="84">
        <v>2900</v>
      </c>
      <c r="AG39" s="84">
        <v>21113</v>
      </c>
      <c r="AH39" s="84"/>
      <c r="AI39" s="84"/>
      <c r="AJ39" s="84"/>
      <c r="AK39" s="84"/>
      <c r="AL39" s="84">
        <v>169093.989</v>
      </c>
      <c r="AM39" s="84">
        <v>466168.08100000001</v>
      </c>
      <c r="AN39" s="84"/>
      <c r="AO39" s="84"/>
      <c r="AP39" s="84">
        <v>44</v>
      </c>
      <c r="AQ39" s="84">
        <v>44</v>
      </c>
      <c r="AR39" s="84">
        <v>62741</v>
      </c>
      <c r="AS39" s="84">
        <v>1010981</v>
      </c>
      <c r="AT39" s="84"/>
      <c r="AU39" s="84"/>
      <c r="AV39" s="84">
        <v>67583</v>
      </c>
      <c r="AW39" s="84">
        <v>149328</v>
      </c>
      <c r="AX39" s="84">
        <v>19565</v>
      </c>
      <c r="AY39" s="84">
        <v>54417</v>
      </c>
      <c r="AZ39" s="84">
        <v>20811</v>
      </c>
      <c r="BA39" s="84">
        <v>69093</v>
      </c>
      <c r="BB39" s="84"/>
      <c r="BC39" s="84"/>
      <c r="BD39" s="84">
        <v>59158</v>
      </c>
      <c r="BE39" s="84">
        <v>125104</v>
      </c>
      <c r="BF39" s="84">
        <v>532515</v>
      </c>
      <c r="BG39" s="84">
        <v>1816113</v>
      </c>
      <c r="BH39" s="84">
        <v>191811</v>
      </c>
      <c r="BI39" s="84">
        <v>473824</v>
      </c>
      <c r="BJ39" s="84">
        <v>382170</v>
      </c>
      <c r="BK39" s="84">
        <v>935730</v>
      </c>
      <c r="BL39" s="84">
        <v>3191</v>
      </c>
      <c r="BM39" s="84">
        <v>11884</v>
      </c>
      <c r="BN39" s="73">
        <f t="shared" ref="BN39:BN45" si="6">SUM(B39+D39+F39+H39+J39+L39+N39+P39+R39+T39+V39+X39+Z39+AB39+AD39+AF39+AH39+AJ39+AL39+AN39+AP39+AR39+AT39+AV39+AX39+AZ39+BB39+BD39+BF39+BH39+BJ39+BL39)</f>
        <v>2346456.9890000001</v>
      </c>
      <c r="BO39" s="73">
        <f t="shared" ref="BO39:BO45" si="7">SUM(C39+E39+G39+I39+K39+M39+O39+Q39+S39+U39+W39+Y39+AA39+AC39+AE39+AG39+AI39+AK39+AM39+AO39+AQ39+AS39+AU39+AW39+AY39+BA39+BC39+BE39+BG39+BI39+BK39+BM39)</f>
        <v>7642111.0810000002</v>
      </c>
    </row>
    <row r="40" spans="1:67" x14ac:dyDescent="0.25">
      <c r="A40" s="21" t="s">
        <v>279</v>
      </c>
      <c r="B40" s="84"/>
      <c r="C40" s="84"/>
      <c r="D40" s="84"/>
      <c r="E40" s="84"/>
      <c r="F40" s="84"/>
      <c r="G40" s="84"/>
      <c r="H40" s="84">
        <v>1192</v>
      </c>
      <c r="I40" s="84">
        <v>271998</v>
      </c>
      <c r="J40" s="84">
        <v>-8004</v>
      </c>
      <c r="K40" s="84">
        <v>119361</v>
      </c>
      <c r="L40" s="84">
        <v>98523</v>
      </c>
      <c r="M40" s="84">
        <v>98523</v>
      </c>
      <c r="N40" s="84"/>
      <c r="O40" s="84"/>
      <c r="P40" s="84">
        <v>3456</v>
      </c>
      <c r="Q40" s="84">
        <v>3456</v>
      </c>
      <c r="R40" s="84">
        <v>98335</v>
      </c>
      <c r="S40" s="84">
        <v>98335</v>
      </c>
      <c r="T40" s="84">
        <v>14390</v>
      </c>
      <c r="U40" s="84">
        <v>14390</v>
      </c>
      <c r="V40" s="84">
        <v>3454855</v>
      </c>
      <c r="W40" s="84">
        <v>3454855</v>
      </c>
      <c r="X40" s="84">
        <v>4453017</v>
      </c>
      <c r="Y40" s="84">
        <v>4453017</v>
      </c>
      <c r="Z40" s="84">
        <v>-1410</v>
      </c>
      <c r="AA40" s="84">
        <v>217530</v>
      </c>
      <c r="AB40" s="84">
        <v>1496</v>
      </c>
      <c r="AC40" s="84">
        <v>1496</v>
      </c>
      <c r="AD40" s="84">
        <v>151404</v>
      </c>
      <c r="AE40" s="84">
        <v>151404</v>
      </c>
      <c r="AF40" s="84">
        <v>132863</v>
      </c>
      <c r="AG40" s="84">
        <v>132863</v>
      </c>
      <c r="AH40" s="84"/>
      <c r="AI40" s="84"/>
      <c r="AJ40" s="84"/>
      <c r="AK40" s="84"/>
      <c r="AL40" s="84">
        <v>-13168.296506439452</v>
      </c>
      <c r="AM40" s="84">
        <v>2989489.9311750182</v>
      </c>
      <c r="AN40" s="84">
        <v>5239</v>
      </c>
      <c r="AO40" s="84">
        <v>5239</v>
      </c>
      <c r="AP40" s="84">
        <v>322</v>
      </c>
      <c r="AQ40" s="84">
        <v>1849</v>
      </c>
      <c r="AR40" s="84">
        <v>341210</v>
      </c>
      <c r="AS40" s="84">
        <v>341210</v>
      </c>
      <c r="AT40" s="84"/>
      <c r="AU40" s="84"/>
      <c r="AV40" s="84">
        <v>-83086</v>
      </c>
      <c r="AW40" s="84">
        <v>692035</v>
      </c>
      <c r="AX40" s="84">
        <v>126687</v>
      </c>
      <c r="AY40" s="84">
        <v>126687</v>
      </c>
      <c r="AZ40" s="84">
        <v>125101</v>
      </c>
      <c r="BA40" s="84">
        <v>125101</v>
      </c>
      <c r="BB40" s="84"/>
      <c r="BC40" s="84"/>
      <c r="BD40" s="84">
        <v>108442</v>
      </c>
      <c r="BE40" s="84">
        <v>108442</v>
      </c>
      <c r="BF40" s="84">
        <v>10007533</v>
      </c>
      <c r="BG40" s="84">
        <v>10007533</v>
      </c>
      <c r="BH40" s="84">
        <v>-103735</v>
      </c>
      <c r="BI40" s="84">
        <v>4152164</v>
      </c>
      <c r="BJ40" s="84">
        <v>12262823</v>
      </c>
      <c r="BK40" s="84">
        <v>12262823</v>
      </c>
      <c r="BL40" s="84">
        <v>-791</v>
      </c>
      <c r="BM40" s="84">
        <v>58613</v>
      </c>
      <c r="BN40" s="73">
        <f t="shared" si="6"/>
        <v>31176693.703493562</v>
      </c>
      <c r="BO40" s="73">
        <f t="shared" si="7"/>
        <v>39888413.931175016</v>
      </c>
    </row>
    <row r="41" spans="1:67" x14ac:dyDescent="0.25">
      <c r="A41" s="21" t="s">
        <v>278</v>
      </c>
      <c r="B41" s="84"/>
      <c r="C41" s="84"/>
      <c r="D41" s="84"/>
      <c r="E41" s="84"/>
      <c r="F41" s="84"/>
      <c r="G41" s="84"/>
      <c r="H41" s="84"/>
      <c r="I41" s="84">
        <v>252860</v>
      </c>
      <c r="J41" s="84"/>
      <c r="K41" s="84">
        <v>111065</v>
      </c>
      <c r="L41" s="84">
        <v>75723</v>
      </c>
      <c r="M41" s="84">
        <v>55282</v>
      </c>
      <c r="N41" s="84"/>
      <c r="O41" s="84"/>
      <c r="P41" s="84">
        <v>1914</v>
      </c>
      <c r="Q41" s="84">
        <v>5968</v>
      </c>
      <c r="R41" s="84">
        <v>103972</v>
      </c>
      <c r="S41" s="84">
        <v>106996</v>
      </c>
      <c r="T41" s="84">
        <v>11834</v>
      </c>
      <c r="U41" s="84">
        <v>6542</v>
      </c>
      <c r="V41" s="84">
        <v>-3396489</v>
      </c>
      <c r="W41" s="84">
        <v>-2310386</v>
      </c>
      <c r="X41" s="84">
        <v>4202357</v>
      </c>
      <c r="Y41" s="84">
        <v>4066521</v>
      </c>
      <c r="Z41" s="84"/>
      <c r="AA41" s="84">
        <v>216850</v>
      </c>
      <c r="AB41" s="84">
        <v>1124</v>
      </c>
      <c r="AC41" s="84">
        <v>1023</v>
      </c>
      <c r="AD41" s="84">
        <v>186063</v>
      </c>
      <c r="AE41" s="84">
        <v>190822</v>
      </c>
      <c r="AF41" s="84">
        <v>-117572</v>
      </c>
      <c r="AG41" s="84">
        <v>-106889</v>
      </c>
      <c r="AH41" s="84"/>
      <c r="AI41" s="84"/>
      <c r="AJ41" s="84"/>
      <c r="AK41" s="84"/>
      <c r="AL41" s="84">
        <v>0</v>
      </c>
      <c r="AM41" s="84">
        <v>3093729.2790000001</v>
      </c>
      <c r="AN41" s="84">
        <v>-4772</v>
      </c>
      <c r="AO41" s="84">
        <v>-3845</v>
      </c>
      <c r="AP41" s="84"/>
      <c r="AQ41" s="84">
        <v>870</v>
      </c>
      <c r="AR41" s="84">
        <v>345873</v>
      </c>
      <c r="AS41" s="84">
        <v>416962</v>
      </c>
      <c r="AT41" s="84"/>
      <c r="AU41" s="84"/>
      <c r="AV41" s="84"/>
      <c r="AW41" s="84">
        <v>-837333</v>
      </c>
      <c r="AX41" s="84">
        <v>134655</v>
      </c>
      <c r="AY41" s="84">
        <v>92842</v>
      </c>
      <c r="AZ41" s="84">
        <v>127535</v>
      </c>
      <c r="BA41" s="84">
        <v>110665</v>
      </c>
      <c r="BB41" s="84"/>
      <c r="BC41" s="84"/>
      <c r="BD41" s="84">
        <v>104186</v>
      </c>
      <c r="BE41" s="84">
        <v>92390</v>
      </c>
      <c r="BF41" s="84">
        <v>10495364</v>
      </c>
      <c r="BG41" s="84">
        <v>8404933</v>
      </c>
      <c r="BH41" s="84">
        <v>0</v>
      </c>
      <c r="BI41" s="84">
        <v>3738344</v>
      </c>
      <c r="BJ41" s="84">
        <v>13054900</v>
      </c>
      <c r="BK41" s="84">
        <v>11553793</v>
      </c>
      <c r="BL41" s="84"/>
      <c r="BM41" s="84">
        <v>43219</v>
      </c>
      <c r="BN41" s="73">
        <f t="shared" si="6"/>
        <v>25326667</v>
      </c>
      <c r="BO41" s="73">
        <f t="shared" si="7"/>
        <v>29303223.278999999</v>
      </c>
    </row>
    <row r="42" spans="1:67" x14ac:dyDescent="0.25">
      <c r="A42" s="21" t="s">
        <v>281</v>
      </c>
      <c r="B42" s="84"/>
      <c r="C42" s="84"/>
      <c r="D42" s="84"/>
      <c r="E42" s="84"/>
      <c r="F42" s="84"/>
      <c r="G42" s="84"/>
      <c r="H42" s="84">
        <v>175723</v>
      </c>
      <c r="I42" s="84">
        <v>392514</v>
      </c>
      <c r="J42" s="84"/>
      <c r="K42" s="84"/>
      <c r="L42" s="84">
        <v>41478</v>
      </c>
      <c r="M42" s="84">
        <v>86654</v>
      </c>
      <c r="N42" s="84"/>
      <c r="O42" s="84"/>
      <c r="P42" s="84">
        <v>1542</v>
      </c>
      <c r="Q42" s="84">
        <v>-2512</v>
      </c>
      <c r="R42" s="84"/>
      <c r="S42" s="84"/>
      <c r="T42" s="84"/>
      <c r="U42" s="84"/>
      <c r="V42" s="84">
        <v>232963</v>
      </c>
      <c r="W42" s="84">
        <v>1628194</v>
      </c>
      <c r="X42" s="84">
        <v>549617</v>
      </c>
      <c r="Y42" s="84">
        <v>1464050</v>
      </c>
      <c r="Z42" s="84">
        <v>66359</v>
      </c>
      <c r="AA42" s="84">
        <v>298690</v>
      </c>
      <c r="AB42" s="84">
        <v>393</v>
      </c>
      <c r="AC42" s="84">
        <v>823</v>
      </c>
      <c r="AD42" s="84">
        <v>-7180</v>
      </c>
      <c r="AE42" s="84">
        <v>52104</v>
      </c>
      <c r="AF42" s="84">
        <v>18191</v>
      </c>
      <c r="AG42" s="84">
        <v>47087</v>
      </c>
      <c r="AH42" s="84"/>
      <c r="AI42" s="84"/>
      <c r="AJ42" s="84"/>
      <c r="AK42" s="84"/>
      <c r="AL42" s="84"/>
      <c r="AM42" s="84"/>
      <c r="AN42" s="84">
        <v>467</v>
      </c>
      <c r="AO42" s="84">
        <v>1394</v>
      </c>
      <c r="AP42" s="84">
        <v>366</v>
      </c>
      <c r="AQ42" s="84">
        <v>1024</v>
      </c>
      <c r="AR42" s="84"/>
      <c r="AS42" s="84"/>
      <c r="AT42" s="84"/>
      <c r="AU42" s="84"/>
      <c r="AV42" s="84">
        <v>-15503</v>
      </c>
      <c r="AW42" s="84">
        <v>4030</v>
      </c>
      <c r="AX42" s="84"/>
      <c r="AY42" s="84"/>
      <c r="AZ42" s="84"/>
      <c r="BA42" s="84"/>
      <c r="BB42" s="84"/>
      <c r="BC42" s="84"/>
      <c r="BD42" s="84">
        <v>63414</v>
      </c>
      <c r="BE42" s="84">
        <v>141156</v>
      </c>
      <c r="BF42" s="84">
        <v>44684</v>
      </c>
      <c r="BG42" s="84">
        <v>3418712</v>
      </c>
      <c r="BH42" s="84">
        <v>88076</v>
      </c>
      <c r="BI42" s="84">
        <v>887644</v>
      </c>
      <c r="BJ42" s="84">
        <v>-409907</v>
      </c>
      <c r="BK42" s="84">
        <v>1644760</v>
      </c>
      <c r="BL42" s="84">
        <v>2400</v>
      </c>
      <c r="BM42" s="84">
        <v>27278</v>
      </c>
      <c r="BN42" s="73">
        <f t="shared" si="6"/>
        <v>853083</v>
      </c>
      <c r="BO42" s="73">
        <f t="shared" si="7"/>
        <v>10093602</v>
      </c>
    </row>
    <row r="43" spans="1:67" x14ac:dyDescent="0.25">
      <c r="A43" s="21" t="s">
        <v>276</v>
      </c>
      <c r="B43" s="84"/>
      <c r="C43" s="84"/>
      <c r="D43" s="84"/>
      <c r="E43" s="84"/>
      <c r="F43" s="84"/>
      <c r="G43" s="84"/>
      <c r="H43" s="84">
        <v>-118</v>
      </c>
      <c r="I43" s="84">
        <v>3671</v>
      </c>
      <c r="J43" s="84">
        <v>424</v>
      </c>
      <c r="K43" s="84">
        <v>2317</v>
      </c>
      <c r="L43" s="84">
        <v>2</v>
      </c>
      <c r="M43" s="84">
        <v>67</v>
      </c>
      <c r="N43" s="84"/>
      <c r="O43" s="84"/>
      <c r="P43" s="84"/>
      <c r="Q43" s="84">
        <v>17</v>
      </c>
      <c r="R43" s="84">
        <v>900</v>
      </c>
      <c r="S43" s="84">
        <v>1965</v>
      </c>
      <c r="T43" s="84"/>
      <c r="U43" s="84">
        <v>2</v>
      </c>
      <c r="V43" s="84">
        <v>11733</v>
      </c>
      <c r="W43" s="84">
        <v>16340</v>
      </c>
      <c r="X43" s="84">
        <v>58843</v>
      </c>
      <c r="Y43" s="84">
        <v>168738</v>
      </c>
      <c r="Z43" s="84">
        <v>701</v>
      </c>
      <c r="AA43" s="84">
        <v>2337</v>
      </c>
      <c r="AB43" s="84"/>
      <c r="AC43" s="84">
        <v>17</v>
      </c>
      <c r="AD43" s="84">
        <v>1</v>
      </c>
      <c r="AE43" s="84">
        <v>35</v>
      </c>
      <c r="AF43" s="84"/>
      <c r="AG43" s="84">
        <v>28</v>
      </c>
      <c r="AH43" s="84"/>
      <c r="AI43" s="84"/>
      <c r="AJ43" s="84"/>
      <c r="AK43" s="84"/>
      <c r="AL43" s="84">
        <v>6738.8899999999994</v>
      </c>
      <c r="AM43" s="84">
        <v>75789.315000000002</v>
      </c>
      <c r="AN43" s="84"/>
      <c r="AO43" s="84">
        <v>3</v>
      </c>
      <c r="AP43" s="84">
        <v>0</v>
      </c>
      <c r="AQ43" s="84">
        <v>2</v>
      </c>
      <c r="AR43" s="84">
        <v>5780</v>
      </c>
      <c r="AS43" s="84">
        <v>7307</v>
      </c>
      <c r="AT43" s="84"/>
      <c r="AU43" s="84"/>
      <c r="AV43" s="84">
        <v>4855</v>
      </c>
      <c r="AW43" s="84">
        <v>5570</v>
      </c>
      <c r="AX43" s="84">
        <v>1</v>
      </c>
      <c r="AY43" s="84">
        <v>27</v>
      </c>
      <c r="AZ43" s="84">
        <v>1</v>
      </c>
      <c r="BA43" s="84">
        <v>58</v>
      </c>
      <c r="BB43" s="84"/>
      <c r="BC43" s="84"/>
      <c r="BD43" s="84">
        <v>1</v>
      </c>
      <c r="BE43" s="84">
        <v>14254</v>
      </c>
      <c r="BF43" s="84">
        <v>57490</v>
      </c>
      <c r="BG43" s="84">
        <v>473329</v>
      </c>
      <c r="BH43" s="84">
        <v>81241</v>
      </c>
      <c r="BI43" s="84">
        <v>753909</v>
      </c>
      <c r="BJ43" s="84">
        <v>43309</v>
      </c>
      <c r="BK43" s="84">
        <v>-11947</v>
      </c>
      <c r="BL43" s="84"/>
      <c r="BM43" s="84">
        <v>17</v>
      </c>
      <c r="BN43" s="73">
        <f t="shared" si="6"/>
        <v>271902.89</v>
      </c>
      <c r="BO43" s="73">
        <f t="shared" si="7"/>
        <v>1513852.3149999999</v>
      </c>
    </row>
    <row r="44" spans="1:67" x14ac:dyDescent="0.25">
      <c r="A44" s="21" t="s">
        <v>277</v>
      </c>
      <c r="B44" s="84"/>
      <c r="C44" s="84"/>
      <c r="D44" s="84"/>
      <c r="E44" s="84"/>
      <c r="F44" s="84"/>
      <c r="G44" s="84"/>
      <c r="H44" s="84">
        <v>152485</v>
      </c>
      <c r="I44" s="84">
        <v>310544</v>
      </c>
      <c r="J44" s="84">
        <v>38093</v>
      </c>
      <c r="K44" s="84">
        <v>54032</v>
      </c>
      <c r="L44" s="84">
        <v>4253</v>
      </c>
      <c r="M44" s="84">
        <v>10432</v>
      </c>
      <c r="N44" s="84"/>
      <c r="O44" s="84"/>
      <c r="P44" s="84">
        <v>511</v>
      </c>
      <c r="Q44" s="84">
        <v>-4983</v>
      </c>
      <c r="R44" s="84">
        <v>18400</v>
      </c>
      <c r="S44" s="84">
        <v>55267</v>
      </c>
      <c r="T44" s="84">
        <v>2078</v>
      </c>
      <c r="U44" s="84">
        <v>2613</v>
      </c>
      <c r="V44" s="84">
        <f>-100253-2808599+2799762</f>
        <v>-109090</v>
      </c>
      <c r="W44" s="84">
        <f>-203724-2808599+1904018</f>
        <v>-1108305</v>
      </c>
      <c r="X44" s="84">
        <v>234374</v>
      </c>
      <c r="Y44" s="84">
        <v>882037</v>
      </c>
      <c r="Z44" s="84">
        <v>38135</v>
      </c>
      <c r="AA44" s="84">
        <v>208093</v>
      </c>
      <c r="AB44" s="84">
        <v>19</v>
      </c>
      <c r="AC44" s="84">
        <v>279</v>
      </c>
      <c r="AD44" s="84">
        <v>19805</v>
      </c>
      <c r="AE44" s="84">
        <v>61985</v>
      </c>
      <c r="AF44" s="84">
        <v>-2258</v>
      </c>
      <c r="AG44" s="84">
        <v>-14713</v>
      </c>
      <c r="AH44" s="84"/>
      <c r="AI44" s="84"/>
      <c r="AJ44" s="84"/>
      <c r="AK44" s="84"/>
      <c r="AL44" s="84">
        <v>27073.368999999999</v>
      </c>
      <c r="AM44" s="84">
        <v>34942.159</v>
      </c>
      <c r="AN44" s="84"/>
      <c r="AO44" s="84"/>
      <c r="AP44" s="84">
        <v>34</v>
      </c>
      <c r="AQ44" s="84">
        <v>34</v>
      </c>
      <c r="AR44" s="84">
        <v>30080</v>
      </c>
      <c r="AS44" s="84">
        <v>870524</v>
      </c>
      <c r="AT44" s="84"/>
      <c r="AU44" s="84"/>
      <c r="AV44" s="84">
        <v>-65179</v>
      </c>
      <c r="AW44" s="84">
        <v>-138596</v>
      </c>
      <c r="AX44" s="84">
        <v>8036</v>
      </c>
      <c r="AY44" s="84">
        <v>18186</v>
      </c>
      <c r="AZ44" s="84">
        <v>2831</v>
      </c>
      <c r="BA44" s="84">
        <v>21116</v>
      </c>
      <c r="BB44" s="84"/>
      <c r="BC44" s="84"/>
      <c r="BD44" s="84">
        <v>54346</v>
      </c>
      <c r="BE44" s="84">
        <v>126923</v>
      </c>
      <c r="BF44" s="84">
        <v>132367</v>
      </c>
      <c r="BG44" s="84">
        <v>596104</v>
      </c>
      <c r="BH44" s="84">
        <v>-64261</v>
      </c>
      <c r="BI44" s="84">
        <v>192084</v>
      </c>
      <c r="BJ44" s="84">
        <v>-797440</v>
      </c>
      <c r="BK44" s="84">
        <v>63807</v>
      </c>
      <c r="BL44" s="84">
        <v>2613</v>
      </c>
      <c r="BM44" s="84">
        <v>4626</v>
      </c>
      <c r="BN44" s="73">
        <f t="shared" si="6"/>
        <v>-272694.63100000005</v>
      </c>
      <c r="BO44" s="73">
        <f t="shared" si="7"/>
        <v>2247031.159</v>
      </c>
    </row>
    <row r="45" spans="1:67" x14ac:dyDescent="0.25">
      <c r="A45" s="21" t="s">
        <v>273</v>
      </c>
      <c r="B45" s="84"/>
      <c r="C45" s="84"/>
      <c r="D45" s="84"/>
      <c r="E45" s="84"/>
      <c r="F45" s="84"/>
      <c r="G45" s="84"/>
      <c r="H45" s="84">
        <v>23120</v>
      </c>
      <c r="I45" s="84">
        <v>85641</v>
      </c>
      <c r="J45" s="84">
        <v>165</v>
      </c>
      <c r="K45" s="84">
        <v>26485</v>
      </c>
      <c r="L45" s="84">
        <v>37227</v>
      </c>
      <c r="M45" s="84">
        <v>76289</v>
      </c>
      <c r="N45" s="84"/>
      <c r="O45" s="84"/>
      <c r="P45" s="84">
        <v>1031</v>
      </c>
      <c r="Q45" s="84">
        <v>2488</v>
      </c>
      <c r="R45" s="84">
        <v>1437</v>
      </c>
      <c r="S45" s="84">
        <v>5462</v>
      </c>
      <c r="T45" s="84">
        <v>2907</v>
      </c>
      <c r="U45" s="84">
        <v>8271</v>
      </c>
      <c r="V45" s="84">
        <v>135605</v>
      </c>
      <c r="W45" s="84">
        <v>536230</v>
      </c>
      <c r="X45" s="84">
        <v>107313</v>
      </c>
      <c r="Y45" s="84">
        <v>563731</v>
      </c>
      <c r="Z45" s="84">
        <v>28925</v>
      </c>
      <c r="AA45" s="84">
        <v>92934</v>
      </c>
      <c r="AB45" s="84">
        <v>374</v>
      </c>
      <c r="AC45" s="84">
        <v>561</v>
      </c>
      <c r="AD45" s="84">
        <v>8597</v>
      </c>
      <c r="AE45" s="84">
        <v>27728</v>
      </c>
      <c r="AF45" s="84">
        <v>479</v>
      </c>
      <c r="AG45" s="84">
        <v>4351</v>
      </c>
      <c r="AH45" s="84"/>
      <c r="AI45" s="84"/>
      <c r="AJ45" s="84"/>
      <c r="AK45" s="84"/>
      <c r="AL45" s="84">
        <v>135591.21349356056</v>
      </c>
      <c r="AM45" s="84">
        <v>402775.8891750183</v>
      </c>
      <c r="AN45" s="84">
        <v>19</v>
      </c>
      <c r="AO45" s="84">
        <v>57</v>
      </c>
      <c r="AP45" s="84">
        <v>333</v>
      </c>
      <c r="AQ45" s="84">
        <v>992</v>
      </c>
      <c r="AR45" s="84">
        <v>33778</v>
      </c>
      <c r="AS45" s="84">
        <v>72012</v>
      </c>
      <c r="AT45" s="84"/>
      <c r="AU45" s="84"/>
      <c r="AV45" s="84">
        <v>11601</v>
      </c>
      <c r="AW45" s="84">
        <v>37662</v>
      </c>
      <c r="AX45" s="84">
        <v>3562</v>
      </c>
      <c r="AY45" s="84">
        <v>70103</v>
      </c>
      <c r="AZ45" s="84">
        <v>15547</v>
      </c>
      <c r="BA45" s="84">
        <v>62471</v>
      </c>
      <c r="BB45" s="84"/>
      <c r="BC45" s="84"/>
      <c r="BD45" s="84">
        <v>9069</v>
      </c>
      <c r="BE45" s="84">
        <v>28487</v>
      </c>
      <c r="BF45" s="84">
        <v>-740285</v>
      </c>
      <c r="BG45" s="84">
        <v>2860371</v>
      </c>
      <c r="BH45" s="84">
        <v>233578</v>
      </c>
      <c r="BI45" s="84">
        <v>1449469</v>
      </c>
      <c r="BJ45" s="84">
        <v>430842</v>
      </c>
      <c r="BK45" s="84">
        <v>1569006</v>
      </c>
      <c r="BL45" s="84">
        <v>-213</v>
      </c>
      <c r="BM45" s="84">
        <v>22669</v>
      </c>
      <c r="BN45" s="73">
        <f t="shared" si="6"/>
        <v>480602.21349356056</v>
      </c>
      <c r="BO45" s="73">
        <f t="shared" si="7"/>
        <v>8006245.8891750183</v>
      </c>
    </row>
    <row r="46" spans="1:67" x14ac:dyDescent="0.25">
      <c r="A46" s="29"/>
    </row>
    <row r="47" spans="1:67" x14ac:dyDescent="0.25">
      <c r="A47" s="30" t="s">
        <v>220</v>
      </c>
    </row>
    <row r="48" spans="1:67" x14ac:dyDescent="0.25">
      <c r="A48" s="3" t="s">
        <v>0</v>
      </c>
      <c r="B48" s="103" t="s">
        <v>1</v>
      </c>
      <c r="C48" s="104"/>
      <c r="D48" s="103" t="s">
        <v>282</v>
      </c>
      <c r="E48" s="104"/>
      <c r="F48" s="103" t="s">
        <v>2</v>
      </c>
      <c r="G48" s="104"/>
      <c r="H48" s="103" t="s">
        <v>3</v>
      </c>
      <c r="I48" s="104"/>
      <c r="J48" s="103" t="s">
        <v>4</v>
      </c>
      <c r="K48" s="104"/>
      <c r="L48" s="103" t="s">
        <v>283</v>
      </c>
      <c r="M48" s="104"/>
      <c r="N48" s="103" t="s">
        <v>6</v>
      </c>
      <c r="O48" s="104"/>
      <c r="P48" s="103" t="s">
        <v>5</v>
      </c>
      <c r="Q48" s="104"/>
      <c r="R48" s="103" t="s">
        <v>7</v>
      </c>
      <c r="S48" s="104"/>
      <c r="T48" s="103" t="s">
        <v>284</v>
      </c>
      <c r="U48" s="104"/>
      <c r="V48" s="103" t="s">
        <v>8</v>
      </c>
      <c r="W48" s="104"/>
      <c r="X48" s="103" t="s">
        <v>9</v>
      </c>
      <c r="Y48" s="104"/>
      <c r="Z48" s="103" t="s">
        <v>10</v>
      </c>
      <c r="AA48" s="104"/>
      <c r="AB48" s="103" t="s">
        <v>304</v>
      </c>
      <c r="AC48" s="104"/>
      <c r="AD48" s="103" t="s">
        <v>11</v>
      </c>
      <c r="AE48" s="104"/>
      <c r="AF48" s="103" t="s">
        <v>12</v>
      </c>
      <c r="AG48" s="104"/>
      <c r="AH48" s="103" t="s">
        <v>285</v>
      </c>
      <c r="AI48" s="104"/>
      <c r="AJ48" s="103" t="s">
        <v>290</v>
      </c>
      <c r="AK48" s="104"/>
      <c r="AL48" s="103" t="s">
        <v>13</v>
      </c>
      <c r="AM48" s="104"/>
      <c r="AN48" s="103" t="s">
        <v>286</v>
      </c>
      <c r="AO48" s="104"/>
      <c r="AP48" s="103" t="s">
        <v>287</v>
      </c>
      <c r="AQ48" s="104"/>
      <c r="AR48" s="103" t="s">
        <v>291</v>
      </c>
      <c r="AS48" s="104"/>
      <c r="AT48" s="103" t="s">
        <v>305</v>
      </c>
      <c r="AU48" s="104"/>
      <c r="AV48" s="103" t="s">
        <v>14</v>
      </c>
      <c r="AW48" s="104"/>
      <c r="AX48" s="103" t="s">
        <v>15</v>
      </c>
      <c r="AY48" s="104"/>
      <c r="AZ48" s="103" t="s">
        <v>16</v>
      </c>
      <c r="BA48" s="104"/>
      <c r="BB48" s="103" t="s">
        <v>17</v>
      </c>
      <c r="BC48" s="104"/>
      <c r="BD48" s="103" t="s">
        <v>18</v>
      </c>
      <c r="BE48" s="104"/>
      <c r="BF48" s="103" t="s">
        <v>288</v>
      </c>
      <c r="BG48" s="104"/>
      <c r="BH48" s="103" t="s">
        <v>289</v>
      </c>
      <c r="BI48" s="104"/>
      <c r="BJ48" s="103" t="s">
        <v>19</v>
      </c>
      <c r="BK48" s="104"/>
      <c r="BL48" s="103" t="s">
        <v>20</v>
      </c>
      <c r="BM48" s="104"/>
      <c r="BN48" s="105" t="s">
        <v>21</v>
      </c>
      <c r="BO48" s="106"/>
    </row>
    <row r="49" spans="1:67" ht="30" x14ac:dyDescent="0.25">
      <c r="A49" s="3"/>
      <c r="B49" s="57" t="s">
        <v>293</v>
      </c>
      <c r="C49" s="58" t="s">
        <v>294</v>
      </c>
      <c r="D49" s="57" t="s">
        <v>293</v>
      </c>
      <c r="E49" s="58" t="s">
        <v>294</v>
      </c>
      <c r="F49" s="57" t="s">
        <v>293</v>
      </c>
      <c r="G49" s="58" t="s">
        <v>294</v>
      </c>
      <c r="H49" s="57" t="s">
        <v>293</v>
      </c>
      <c r="I49" s="58" t="s">
        <v>294</v>
      </c>
      <c r="J49" s="57" t="s">
        <v>293</v>
      </c>
      <c r="K49" s="58" t="s">
        <v>294</v>
      </c>
      <c r="L49" s="57" t="s">
        <v>293</v>
      </c>
      <c r="M49" s="58" t="s">
        <v>294</v>
      </c>
      <c r="N49" s="57" t="s">
        <v>293</v>
      </c>
      <c r="O49" s="58" t="s">
        <v>294</v>
      </c>
      <c r="P49" s="57" t="s">
        <v>293</v>
      </c>
      <c r="Q49" s="58" t="s">
        <v>294</v>
      </c>
      <c r="R49" s="57" t="s">
        <v>293</v>
      </c>
      <c r="S49" s="58" t="s">
        <v>294</v>
      </c>
      <c r="T49" s="57" t="s">
        <v>293</v>
      </c>
      <c r="U49" s="58" t="s">
        <v>294</v>
      </c>
      <c r="V49" s="57" t="s">
        <v>293</v>
      </c>
      <c r="W49" s="58" t="s">
        <v>294</v>
      </c>
      <c r="X49" s="57" t="s">
        <v>293</v>
      </c>
      <c r="Y49" s="58" t="s">
        <v>294</v>
      </c>
      <c r="Z49" s="57" t="s">
        <v>293</v>
      </c>
      <c r="AA49" s="58" t="s">
        <v>294</v>
      </c>
      <c r="AB49" s="57" t="s">
        <v>293</v>
      </c>
      <c r="AC49" s="58" t="s">
        <v>294</v>
      </c>
      <c r="AD49" s="57" t="s">
        <v>293</v>
      </c>
      <c r="AE49" s="58" t="s">
        <v>294</v>
      </c>
      <c r="AF49" s="57" t="s">
        <v>293</v>
      </c>
      <c r="AG49" s="58" t="s">
        <v>294</v>
      </c>
      <c r="AH49" s="57" t="s">
        <v>293</v>
      </c>
      <c r="AI49" s="58" t="s">
        <v>294</v>
      </c>
      <c r="AJ49" s="57" t="s">
        <v>293</v>
      </c>
      <c r="AK49" s="58" t="s">
        <v>294</v>
      </c>
      <c r="AL49" s="57" t="s">
        <v>293</v>
      </c>
      <c r="AM49" s="58" t="s">
        <v>294</v>
      </c>
      <c r="AN49" s="57" t="s">
        <v>293</v>
      </c>
      <c r="AO49" s="58" t="s">
        <v>294</v>
      </c>
      <c r="AP49" s="57" t="s">
        <v>293</v>
      </c>
      <c r="AQ49" s="58" t="s">
        <v>294</v>
      </c>
      <c r="AR49" s="57" t="s">
        <v>293</v>
      </c>
      <c r="AS49" s="58" t="s">
        <v>294</v>
      </c>
      <c r="AT49" s="57" t="s">
        <v>293</v>
      </c>
      <c r="AU49" s="58" t="s">
        <v>294</v>
      </c>
      <c r="AV49" s="57" t="s">
        <v>293</v>
      </c>
      <c r="AW49" s="58" t="s">
        <v>294</v>
      </c>
      <c r="AX49" s="57" t="s">
        <v>293</v>
      </c>
      <c r="AY49" s="58" t="s">
        <v>294</v>
      </c>
      <c r="AZ49" s="57" t="s">
        <v>293</v>
      </c>
      <c r="BA49" s="58" t="s">
        <v>294</v>
      </c>
      <c r="BB49" s="57" t="s">
        <v>293</v>
      </c>
      <c r="BC49" s="58" t="s">
        <v>294</v>
      </c>
      <c r="BD49" s="57" t="s">
        <v>293</v>
      </c>
      <c r="BE49" s="58" t="s">
        <v>294</v>
      </c>
      <c r="BF49" s="57" t="s">
        <v>293</v>
      </c>
      <c r="BG49" s="58" t="s">
        <v>294</v>
      </c>
      <c r="BH49" s="57" t="s">
        <v>293</v>
      </c>
      <c r="BI49" s="58" t="s">
        <v>294</v>
      </c>
      <c r="BJ49" s="57" t="s">
        <v>293</v>
      </c>
      <c r="BK49" s="58" t="s">
        <v>294</v>
      </c>
      <c r="BL49" s="57" t="s">
        <v>293</v>
      </c>
      <c r="BM49" s="58" t="s">
        <v>294</v>
      </c>
      <c r="BN49" s="57" t="s">
        <v>293</v>
      </c>
      <c r="BO49" s="58" t="s">
        <v>294</v>
      </c>
    </row>
    <row r="50" spans="1:67" x14ac:dyDescent="0.25">
      <c r="A50" s="21" t="s">
        <v>228</v>
      </c>
      <c r="B50" s="84">
        <v>185656</v>
      </c>
      <c r="C50" s="84">
        <v>288444</v>
      </c>
      <c r="D50" s="76">
        <v>1232724</v>
      </c>
      <c r="E50" s="84">
        <v>2495320</v>
      </c>
      <c r="F50" s="84"/>
      <c r="G50" s="84"/>
      <c r="H50" s="84">
        <v>4461691</v>
      </c>
      <c r="I50" s="84">
        <v>9377442</v>
      </c>
      <c r="J50" s="84">
        <v>612358</v>
      </c>
      <c r="K50" s="84">
        <v>1293560</v>
      </c>
      <c r="L50" s="84">
        <v>1228367</v>
      </c>
      <c r="M50" s="84">
        <v>1904840</v>
      </c>
      <c r="N50" s="84"/>
      <c r="O50" s="84"/>
      <c r="P50" s="84">
        <v>207136</v>
      </c>
      <c r="Q50" s="84">
        <v>386777</v>
      </c>
      <c r="R50" s="84">
        <v>1334674</v>
      </c>
      <c r="S50" s="84">
        <v>2432961</v>
      </c>
      <c r="T50" s="84">
        <v>273335</v>
      </c>
      <c r="U50" s="84">
        <v>392236</v>
      </c>
      <c r="V50" s="84">
        <v>8123863</v>
      </c>
      <c r="W50" s="84">
        <v>16821252</v>
      </c>
      <c r="X50" s="84">
        <v>5142234</v>
      </c>
      <c r="Y50" s="84">
        <v>11669896</v>
      </c>
      <c r="Z50" s="84">
        <v>4521920</v>
      </c>
      <c r="AA50" s="84">
        <v>10430252</v>
      </c>
      <c r="AB50" s="84">
        <v>193672</v>
      </c>
      <c r="AC50" s="84">
        <v>335376</v>
      </c>
      <c r="AD50" s="84">
        <v>563210</v>
      </c>
      <c r="AE50" s="84">
        <v>1319209</v>
      </c>
      <c r="AF50" s="84">
        <v>67562</v>
      </c>
      <c r="AG50" s="84">
        <v>129408</v>
      </c>
      <c r="AH50" s="84">
        <v>1119110</v>
      </c>
      <c r="AI50" s="84">
        <v>2453213</v>
      </c>
      <c r="AJ50" s="84">
        <v>1624828</v>
      </c>
      <c r="AK50" s="84">
        <v>3602571</v>
      </c>
      <c r="AL50" s="84">
        <v>13202849.826000001</v>
      </c>
      <c r="AM50" s="84">
        <v>30777789.535</v>
      </c>
      <c r="AN50" s="84">
        <v>15347</v>
      </c>
      <c r="AO50" s="84">
        <v>64937</v>
      </c>
      <c r="AP50" s="84">
        <v>969</v>
      </c>
      <c r="AQ50" s="84">
        <v>1660</v>
      </c>
      <c r="AR50" s="84">
        <v>2548357</v>
      </c>
      <c r="AS50" s="84">
        <v>6680126</v>
      </c>
      <c r="AT50" s="84">
        <v>2918754</v>
      </c>
      <c r="AU50" s="84">
        <v>6288725</v>
      </c>
      <c r="AV50" s="84">
        <v>829797</v>
      </c>
      <c r="AW50" s="84">
        <v>1576631</v>
      </c>
      <c r="AX50" s="84">
        <v>2067144</v>
      </c>
      <c r="AY50" s="84">
        <v>4098160</v>
      </c>
      <c r="AZ50" s="84">
        <v>100</v>
      </c>
      <c r="BA50" s="84">
        <v>571</v>
      </c>
      <c r="BB50" s="84"/>
      <c r="BC50" s="84"/>
      <c r="BD50" s="84">
        <v>1389443</v>
      </c>
      <c r="BE50" s="84">
        <v>2957906</v>
      </c>
      <c r="BF50" s="84">
        <v>29499928</v>
      </c>
      <c r="BG50" s="84">
        <v>60954184</v>
      </c>
      <c r="BH50" s="84">
        <v>15380558</v>
      </c>
      <c r="BI50" s="84">
        <v>31952598</v>
      </c>
      <c r="BJ50" s="84">
        <v>18311048</v>
      </c>
      <c r="BK50" s="84">
        <v>38105471</v>
      </c>
      <c r="BL50" s="84">
        <v>581298</v>
      </c>
      <c r="BM50" s="84">
        <v>1160131</v>
      </c>
      <c r="BN50" s="73">
        <f t="shared" ref="BN50:BN56" si="8">SUM(B50+D50+F50+H50+J50+L50+N50+P50+R50+T50+V50+X50+Z50+AB50+AD50+AF50+AH50+AJ50+AL50+AN50+AP50+AR50+AT50+AV50+AX50+AZ50+BB50+BD50+BF50+BH50+BJ50+BL50)</f>
        <v>117637932.82600001</v>
      </c>
      <c r="BO50" s="73">
        <f t="shared" ref="BO50:BO56" si="9">SUM(C50+E50+G50+I50+K50+M50+O50+Q50+S50+U50+W50+Y50+AA50+AC50+AE50+AG50+AI50+AK50+AM50+AO50+AQ50+AS50+AU50+AW50+AY50+BA50+BC50+BE50+BG50+BI50+BK50+BM50)</f>
        <v>249951646.535</v>
      </c>
    </row>
    <row r="51" spans="1:67" x14ac:dyDescent="0.25">
      <c r="A51" s="21" t="s">
        <v>279</v>
      </c>
      <c r="B51" s="84">
        <v>173438</v>
      </c>
      <c r="C51" s="84">
        <v>173438</v>
      </c>
      <c r="D51" s="84">
        <v>1220796</v>
      </c>
      <c r="E51" s="84">
        <v>1220796</v>
      </c>
      <c r="F51" s="84"/>
      <c r="G51" s="84"/>
      <c r="H51" s="84">
        <v>-430984</v>
      </c>
      <c r="I51" s="84">
        <v>4739257</v>
      </c>
      <c r="J51" s="84">
        <v>-38565</v>
      </c>
      <c r="K51" s="84">
        <v>848954</v>
      </c>
      <c r="L51" s="84">
        <v>969068</v>
      </c>
      <c r="M51" s="84">
        <v>969068</v>
      </c>
      <c r="N51" s="84"/>
      <c r="O51" s="84"/>
      <c r="P51" s="84">
        <v>194466</v>
      </c>
      <c r="Q51" s="84">
        <v>194466</v>
      </c>
      <c r="R51" s="84">
        <v>1189169</v>
      </c>
      <c r="S51" s="84">
        <v>1189169</v>
      </c>
      <c r="T51" s="84">
        <v>231793</v>
      </c>
      <c r="U51" s="84">
        <v>231793</v>
      </c>
      <c r="V51" s="84">
        <v>9925736</v>
      </c>
      <c r="W51" s="84">
        <v>9925736</v>
      </c>
      <c r="X51" s="84">
        <v>11498737</v>
      </c>
      <c r="Y51" s="84">
        <v>11498737</v>
      </c>
      <c r="Z51" s="84">
        <v>-359622</v>
      </c>
      <c r="AA51" s="84">
        <v>2298538</v>
      </c>
      <c r="AB51" s="84">
        <v>270539</v>
      </c>
      <c r="AC51" s="84">
        <v>270539</v>
      </c>
      <c r="AD51" s="84">
        <v>485370</v>
      </c>
      <c r="AE51" s="84">
        <v>485370</v>
      </c>
      <c r="AF51" s="84">
        <v>210326</v>
      </c>
      <c r="AG51" s="84">
        <v>210326</v>
      </c>
      <c r="AH51" s="84">
        <v>883470</v>
      </c>
      <c r="AI51" s="84">
        <v>883470</v>
      </c>
      <c r="AJ51" s="84">
        <v>3239568</v>
      </c>
      <c r="AK51" s="84">
        <v>3239568</v>
      </c>
      <c r="AL51" s="84">
        <v>1158158.3468450075</v>
      </c>
      <c r="AM51" s="84">
        <v>10252449.22003871</v>
      </c>
      <c r="AN51" s="84">
        <v>92795</v>
      </c>
      <c r="AO51" s="84">
        <v>92795</v>
      </c>
      <c r="AP51" s="84">
        <v>73176</v>
      </c>
      <c r="AQ51" s="84">
        <v>77389</v>
      </c>
      <c r="AR51" s="84">
        <v>3942819</v>
      </c>
      <c r="AS51" s="84">
        <v>3942819</v>
      </c>
      <c r="AT51" s="84">
        <v>4338534</v>
      </c>
      <c r="AU51" s="84">
        <v>4338534</v>
      </c>
      <c r="AV51" s="84">
        <v>-67279</v>
      </c>
      <c r="AW51" s="84">
        <v>1047496</v>
      </c>
      <c r="AX51" s="84">
        <v>3067165</v>
      </c>
      <c r="AY51" s="84">
        <v>3067165</v>
      </c>
      <c r="AZ51" s="84">
        <v>8315</v>
      </c>
      <c r="BA51" s="84">
        <v>8315</v>
      </c>
      <c r="BB51" s="84"/>
      <c r="BC51" s="84"/>
      <c r="BD51" s="84">
        <v>2670501</v>
      </c>
      <c r="BE51" s="84">
        <v>2670501</v>
      </c>
      <c r="BF51" s="84">
        <v>15547931</v>
      </c>
      <c r="BG51" s="84">
        <v>15547931</v>
      </c>
      <c r="BH51" s="84">
        <v>2096685</v>
      </c>
      <c r="BI51" s="84">
        <v>13521831</v>
      </c>
      <c r="BJ51" s="84">
        <v>16014295</v>
      </c>
      <c r="BK51" s="84">
        <v>16014295</v>
      </c>
      <c r="BL51" s="84">
        <v>144585</v>
      </c>
      <c r="BM51" s="84">
        <v>556197</v>
      </c>
      <c r="BN51" s="73">
        <f t="shared" si="8"/>
        <v>78750985.346845001</v>
      </c>
      <c r="BO51" s="73">
        <f t="shared" si="9"/>
        <v>109516942.22003871</v>
      </c>
    </row>
    <row r="52" spans="1:67" x14ac:dyDescent="0.25">
      <c r="A52" s="21" t="s">
        <v>278</v>
      </c>
      <c r="B52" s="84">
        <v>113529</v>
      </c>
      <c r="C52" s="84">
        <v>40600</v>
      </c>
      <c r="D52" s="84">
        <v>1190873</v>
      </c>
      <c r="E52" s="84">
        <v>611575</v>
      </c>
      <c r="F52" s="84"/>
      <c r="G52" s="84"/>
      <c r="H52" s="84"/>
      <c r="I52" s="84">
        <v>2567306</v>
      </c>
      <c r="J52" s="84"/>
      <c r="K52" s="84">
        <v>799396</v>
      </c>
      <c r="L52" s="84">
        <v>662582</v>
      </c>
      <c r="M52" s="84">
        <v>329385</v>
      </c>
      <c r="N52" s="84"/>
      <c r="O52" s="84"/>
      <c r="P52" s="84">
        <v>173483</v>
      </c>
      <c r="Q52" s="84">
        <v>280485</v>
      </c>
      <c r="R52" s="84">
        <v>1162133</v>
      </c>
      <c r="S52" s="84">
        <v>360641</v>
      </c>
      <c r="T52" s="84">
        <v>230852</v>
      </c>
      <c r="U52" s="84">
        <v>47630</v>
      </c>
      <c r="V52" s="84">
        <v>-9178751</v>
      </c>
      <c r="W52" s="84">
        <v>-5395112</v>
      </c>
      <c r="X52" s="84">
        <v>10762708</v>
      </c>
      <c r="Y52" s="84">
        <v>6697430</v>
      </c>
      <c r="Z52" s="84"/>
      <c r="AA52" s="84">
        <v>1494294</v>
      </c>
      <c r="AB52" s="84">
        <v>218546</v>
      </c>
      <c r="AC52" s="84">
        <v>97081</v>
      </c>
      <c r="AD52" s="84">
        <v>453479</v>
      </c>
      <c r="AE52" s="84">
        <v>419436</v>
      </c>
      <c r="AF52" s="84">
        <v>-167828</v>
      </c>
      <c r="AG52" s="84">
        <v>-93693</v>
      </c>
      <c r="AH52" s="84">
        <v>875528</v>
      </c>
      <c r="AI52" s="84">
        <v>610988</v>
      </c>
      <c r="AJ52" s="84">
        <v>2489476</v>
      </c>
      <c r="AK52" s="84">
        <v>1165551</v>
      </c>
      <c r="AL52" s="84">
        <v>0</v>
      </c>
      <c r="AM52" s="84">
        <v>7184477.1076505007</v>
      </c>
      <c r="AN52" s="84">
        <v>-120444</v>
      </c>
      <c r="AO52" s="84">
        <v>-111758</v>
      </c>
      <c r="AP52" s="84"/>
      <c r="AQ52" s="84">
        <v>2252</v>
      </c>
      <c r="AR52" s="84">
        <v>3566931</v>
      </c>
      <c r="AS52" s="84">
        <v>3996089</v>
      </c>
      <c r="AT52" s="84">
        <v>3982923</v>
      </c>
      <c r="AU52" s="84">
        <v>2271801</v>
      </c>
      <c r="AV52" s="84"/>
      <c r="AW52" s="84">
        <v>-707955</v>
      </c>
      <c r="AX52" s="84">
        <v>3262728</v>
      </c>
      <c r="AY52" s="84">
        <v>2175057</v>
      </c>
      <c r="AZ52" s="84">
        <v>6830</v>
      </c>
      <c r="BA52" s="84">
        <v>6893</v>
      </c>
      <c r="BB52" s="84"/>
      <c r="BC52" s="84"/>
      <c r="BD52" s="84">
        <v>2630804</v>
      </c>
      <c r="BE52" s="84">
        <v>1787525</v>
      </c>
      <c r="BF52" s="84">
        <v>15831499</v>
      </c>
      <c r="BG52" s="84">
        <v>12506115</v>
      </c>
      <c r="BH52" s="84">
        <v>0</v>
      </c>
      <c r="BI52" s="84">
        <v>8335434</v>
      </c>
      <c r="BJ52" s="84">
        <v>16890582</v>
      </c>
      <c r="BK52" s="84">
        <v>10226101</v>
      </c>
      <c r="BL52" s="84"/>
      <c r="BM52" s="84">
        <v>183704</v>
      </c>
      <c r="BN52" s="73">
        <f t="shared" si="8"/>
        <v>55038463</v>
      </c>
      <c r="BO52" s="73">
        <f t="shared" si="9"/>
        <v>57888728.107650504</v>
      </c>
    </row>
    <row r="53" spans="1:67" x14ac:dyDescent="0.25">
      <c r="A53" s="21" t="s">
        <v>281</v>
      </c>
      <c r="B53" s="84"/>
      <c r="C53" s="84"/>
      <c r="D53" s="84"/>
      <c r="E53" s="84"/>
      <c r="F53" s="84"/>
      <c r="G53" s="84"/>
      <c r="H53" s="84">
        <v>4030707</v>
      </c>
      <c r="I53" s="84">
        <v>11549393</v>
      </c>
      <c r="J53" s="84"/>
      <c r="K53" s="84"/>
      <c r="L53" s="84">
        <v>1534853</v>
      </c>
      <c r="M53" s="84">
        <v>2544523</v>
      </c>
      <c r="N53" s="84"/>
      <c r="O53" s="84"/>
      <c r="P53" s="84">
        <v>228119</v>
      </c>
      <c r="Q53" s="84">
        <v>300758</v>
      </c>
      <c r="R53" s="84"/>
      <c r="S53" s="84"/>
      <c r="T53" s="84"/>
      <c r="U53" s="84"/>
      <c r="V53" s="84">
        <v>8870847</v>
      </c>
      <c r="W53" s="84">
        <v>21351876</v>
      </c>
      <c r="X53" s="84">
        <v>5878263</v>
      </c>
      <c r="Y53" s="84">
        <v>16471203</v>
      </c>
      <c r="Z53" s="84">
        <v>4162298</v>
      </c>
      <c r="AA53" s="84">
        <v>11234496</v>
      </c>
      <c r="AB53" s="84">
        <v>245665</v>
      </c>
      <c r="AC53" s="84">
        <v>508834</v>
      </c>
      <c r="AD53" s="84">
        <v>595101</v>
      </c>
      <c r="AE53" s="84">
        <v>1385143</v>
      </c>
      <c r="AF53" s="84">
        <v>110060</v>
      </c>
      <c r="AG53" s="84">
        <v>246041</v>
      </c>
      <c r="AH53" s="84">
        <v>1127052</v>
      </c>
      <c r="AI53" s="84">
        <v>2725694</v>
      </c>
      <c r="AJ53" s="84">
        <v>2374920</v>
      </c>
      <c r="AK53" s="84">
        <v>5676588</v>
      </c>
      <c r="AL53" s="84"/>
      <c r="AM53" s="84"/>
      <c r="AN53" s="84">
        <v>-12301</v>
      </c>
      <c r="AO53" s="84">
        <v>45974</v>
      </c>
      <c r="AP53" s="84">
        <v>74145</v>
      </c>
      <c r="AQ53" s="84">
        <v>76796</v>
      </c>
      <c r="AR53" s="84"/>
      <c r="AS53" s="84"/>
      <c r="AT53" s="84">
        <v>3274365</v>
      </c>
      <c r="AU53" s="84">
        <v>8355458</v>
      </c>
      <c r="AV53" s="84">
        <v>762518</v>
      </c>
      <c r="AW53" s="84">
        <v>1916172</v>
      </c>
      <c r="AX53" s="84"/>
      <c r="AY53" s="84"/>
      <c r="AZ53" s="84"/>
      <c r="BA53" s="84"/>
      <c r="BB53" s="84"/>
      <c r="BC53" s="84"/>
      <c r="BD53" s="84">
        <v>1429140</v>
      </c>
      <c r="BE53" s="84">
        <v>3840882</v>
      </c>
      <c r="BF53" s="84">
        <v>29216360</v>
      </c>
      <c r="BG53" s="84">
        <v>63996000</v>
      </c>
      <c r="BH53" s="84">
        <v>17477243</v>
      </c>
      <c r="BI53" s="84">
        <v>37138995</v>
      </c>
      <c r="BJ53" s="84">
        <v>17434761</v>
      </c>
      <c r="BK53" s="84">
        <v>43893665</v>
      </c>
      <c r="BL53" s="84">
        <v>725883</v>
      </c>
      <c r="BM53" s="84">
        <v>1532624</v>
      </c>
      <c r="BN53" s="73">
        <f t="shared" si="8"/>
        <v>99539999</v>
      </c>
      <c r="BO53" s="73">
        <f t="shared" si="9"/>
        <v>234791115</v>
      </c>
    </row>
    <row r="54" spans="1:67" x14ac:dyDescent="0.25">
      <c r="A54" s="21" t="s">
        <v>276</v>
      </c>
      <c r="B54" s="84"/>
      <c r="C54" s="84"/>
      <c r="D54" s="84"/>
      <c r="E54" s="84"/>
      <c r="F54" s="84"/>
      <c r="G54" s="84"/>
      <c r="H54" s="84"/>
      <c r="I54" s="84"/>
      <c r="J54" s="84"/>
      <c r="K54" s="84">
        <v>7555</v>
      </c>
      <c r="L54" s="84"/>
      <c r="M54" s="84"/>
      <c r="N54" s="84"/>
      <c r="O54" s="84"/>
      <c r="P54" s="84">
        <v>27816</v>
      </c>
      <c r="Q54" s="84">
        <v>52294</v>
      </c>
      <c r="R54" s="84"/>
      <c r="S54" s="84"/>
      <c r="T54" s="84"/>
      <c r="U54" s="84"/>
      <c r="V54" s="84"/>
      <c r="W54" s="84">
        <v>26</v>
      </c>
      <c r="X54" s="84">
        <v>249431</v>
      </c>
      <c r="Y54" s="84">
        <v>669581</v>
      </c>
      <c r="Z54" s="84">
        <v>7445</v>
      </c>
      <c r="AA54" s="84">
        <v>7445</v>
      </c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>
        <v>0</v>
      </c>
      <c r="AM54" s="84">
        <v>0</v>
      </c>
      <c r="AN54" s="84"/>
      <c r="AO54" s="84"/>
      <c r="AP54" s="84"/>
      <c r="AQ54" s="84"/>
      <c r="AR54" s="84"/>
      <c r="AS54" s="84"/>
      <c r="AT54" s="84">
        <v>97549</v>
      </c>
      <c r="AU54" s="84">
        <v>168068</v>
      </c>
      <c r="AV54" s="84"/>
      <c r="AW54" s="84"/>
      <c r="AX54" s="84"/>
      <c r="AY54" s="84">
        <v>675589</v>
      </c>
      <c r="AZ54" s="84"/>
      <c r="BA54" s="84"/>
      <c r="BB54" s="84"/>
      <c r="BC54" s="84"/>
      <c r="BD54" s="84"/>
      <c r="BE54" s="84"/>
      <c r="BF54" s="84">
        <v>0</v>
      </c>
      <c r="BG54" s="84">
        <v>0</v>
      </c>
      <c r="BH54" s="84">
        <v>-35877</v>
      </c>
      <c r="BI54" s="84">
        <v>67591</v>
      </c>
      <c r="BJ54" s="84">
        <v>0</v>
      </c>
      <c r="BK54" s="84">
        <v>0</v>
      </c>
      <c r="BL54" s="84"/>
      <c r="BM54" s="84"/>
      <c r="BN54" s="73">
        <f t="shared" si="8"/>
        <v>346364</v>
      </c>
      <c r="BO54" s="73">
        <f t="shared" si="9"/>
        <v>1648149</v>
      </c>
    </row>
    <row r="55" spans="1:67" x14ac:dyDescent="0.25">
      <c r="A55" s="21" t="s">
        <v>277</v>
      </c>
      <c r="B55" s="84">
        <v>9283</v>
      </c>
      <c r="C55" s="84">
        <v>14422</v>
      </c>
      <c r="D55" s="84">
        <v>278834</v>
      </c>
      <c r="E55" s="84">
        <v>530042</v>
      </c>
      <c r="F55" s="84"/>
      <c r="G55" s="84"/>
      <c r="H55" s="84">
        <v>675137</v>
      </c>
      <c r="I55" s="84">
        <v>1381631</v>
      </c>
      <c r="J55" s="84">
        <v>38006</v>
      </c>
      <c r="K55" s="84">
        <v>73499</v>
      </c>
      <c r="L55" s="84">
        <v>149102</v>
      </c>
      <c r="M55" s="84">
        <v>260183</v>
      </c>
      <c r="N55" s="84"/>
      <c r="O55" s="84"/>
      <c r="P55" s="84">
        <v>23422</v>
      </c>
      <c r="Q55" s="84">
        <v>-217089</v>
      </c>
      <c r="R55" s="84">
        <v>284576</v>
      </c>
      <c r="S55" s="84">
        <v>595605</v>
      </c>
      <c r="T55" s="84">
        <v>83610</v>
      </c>
      <c r="U55" s="84">
        <v>110540</v>
      </c>
      <c r="V55" s="84">
        <f>-1815541-2608581+2378485</f>
        <v>-2045637</v>
      </c>
      <c r="W55" s="84">
        <f>-3778605-2608581+1359726</f>
        <v>-5027460</v>
      </c>
      <c r="X55" s="84">
        <v>693845</v>
      </c>
      <c r="Y55" s="84">
        <v>1778660</v>
      </c>
      <c r="Z55" s="84">
        <v>636525</v>
      </c>
      <c r="AA55" s="84">
        <v>2447784</v>
      </c>
      <c r="AB55" s="84">
        <v>12839</v>
      </c>
      <c r="AC55" s="84">
        <v>19929</v>
      </c>
      <c r="AD55" s="84">
        <v>29202</v>
      </c>
      <c r="AE55" s="84">
        <v>64693</v>
      </c>
      <c r="AF55" s="84">
        <v>-7620</v>
      </c>
      <c r="AG55" s="84">
        <v>-17676</v>
      </c>
      <c r="AH55" s="84">
        <v>55945</v>
      </c>
      <c r="AI55" s="84">
        <v>122663</v>
      </c>
      <c r="AJ55" s="84">
        <v>498981</v>
      </c>
      <c r="AK55" s="84">
        <v>1187443</v>
      </c>
      <c r="AL55" s="84">
        <v>2009901.9939999999</v>
      </c>
      <c r="AM55" s="84">
        <v>7516529.7209999999</v>
      </c>
      <c r="AN55" s="84">
        <v>-2528</v>
      </c>
      <c r="AO55" s="84">
        <v>-7415</v>
      </c>
      <c r="AP55" s="84">
        <v>48</v>
      </c>
      <c r="AQ55" s="84">
        <v>83</v>
      </c>
      <c r="AR55" s="84">
        <v>573309</v>
      </c>
      <c r="AS55" s="84">
        <v>1446392</v>
      </c>
      <c r="AT55" s="84">
        <v>788840</v>
      </c>
      <c r="AU55" s="84">
        <v>1646404</v>
      </c>
      <c r="AV55" s="84">
        <v>-168794</v>
      </c>
      <c r="AW55" s="84">
        <v>-298469</v>
      </c>
      <c r="AX55" s="84">
        <v>103357</v>
      </c>
      <c r="AY55" s="84">
        <v>204950</v>
      </c>
      <c r="AZ55" s="84">
        <v>80</v>
      </c>
      <c r="BA55" s="84">
        <v>457</v>
      </c>
      <c r="BB55" s="84"/>
      <c r="BC55" s="84"/>
      <c r="BD55" s="84">
        <v>128436</v>
      </c>
      <c r="BE55" s="84">
        <v>266475</v>
      </c>
      <c r="BF55" s="84">
        <v>1517186</v>
      </c>
      <c r="BG55" s="84">
        <v>3390848</v>
      </c>
      <c r="BH55" s="84">
        <v>802291</v>
      </c>
      <c r="BI55" s="84">
        <v>1742485</v>
      </c>
      <c r="BJ55" s="84">
        <v>1057780</v>
      </c>
      <c r="BK55" s="84">
        <v>2467343</v>
      </c>
      <c r="BL55" s="84">
        <v>29087</v>
      </c>
      <c r="BM55" s="84">
        <v>58172</v>
      </c>
      <c r="BN55" s="73">
        <f t="shared" si="8"/>
        <v>8255043.9939999999</v>
      </c>
      <c r="BO55" s="73">
        <f t="shared" si="9"/>
        <v>21759123.721000001</v>
      </c>
    </row>
    <row r="56" spans="1:67" x14ac:dyDescent="0.25">
      <c r="A56" s="21" t="s">
        <v>273</v>
      </c>
      <c r="B56" s="84">
        <v>236282</v>
      </c>
      <c r="C56" s="84">
        <v>406860</v>
      </c>
      <c r="D56" s="84">
        <v>983813</v>
      </c>
      <c r="E56" s="84">
        <v>2574499</v>
      </c>
      <c r="F56" s="84"/>
      <c r="G56" s="84"/>
      <c r="H56" s="84">
        <v>3355570</v>
      </c>
      <c r="I56" s="84">
        <v>10167762</v>
      </c>
      <c r="J56" s="84">
        <v>535788</v>
      </c>
      <c r="K56" s="84">
        <v>1277174</v>
      </c>
      <c r="L56" s="84">
        <v>1385751</v>
      </c>
      <c r="M56" s="84">
        <v>2284340</v>
      </c>
      <c r="N56" s="84"/>
      <c r="O56" s="84"/>
      <c r="P56" s="84">
        <v>232513</v>
      </c>
      <c r="Q56" s="84">
        <v>570141</v>
      </c>
      <c r="R56" s="84">
        <v>1077135</v>
      </c>
      <c r="S56" s="84">
        <v>2665884</v>
      </c>
      <c r="T56" s="84">
        <v>190665</v>
      </c>
      <c r="U56" s="84">
        <v>465859</v>
      </c>
      <c r="V56" s="84">
        <v>6825210</v>
      </c>
      <c r="W56" s="84">
        <v>16324442</v>
      </c>
      <c r="X56" s="84">
        <v>4975097</v>
      </c>
      <c r="Y56" s="84">
        <v>13919140</v>
      </c>
      <c r="Z56" s="84">
        <v>3533218</v>
      </c>
      <c r="AA56" s="84">
        <v>8794157</v>
      </c>
      <c r="AB56" s="84">
        <v>232826</v>
      </c>
      <c r="AC56" s="84">
        <v>488905</v>
      </c>
      <c r="AD56" s="84">
        <v>596876</v>
      </c>
      <c r="AE56" s="84">
        <v>1337239</v>
      </c>
      <c r="AF56" s="84">
        <v>97939</v>
      </c>
      <c r="AG56" s="84">
        <v>214106</v>
      </c>
      <c r="AH56" s="84">
        <v>1071107</v>
      </c>
      <c r="AI56" s="84">
        <v>2603032</v>
      </c>
      <c r="AJ56" s="84">
        <v>1875939</v>
      </c>
      <c r="AK56" s="84">
        <v>4489145</v>
      </c>
      <c r="AL56" s="84">
        <v>12351106.178845011</v>
      </c>
      <c r="AM56" s="84">
        <v>26329231.926388208</v>
      </c>
      <c r="AN56" s="84">
        <v>7875</v>
      </c>
      <c r="AO56" s="84">
        <v>48009</v>
      </c>
      <c r="AP56" s="84">
        <v>74096</v>
      </c>
      <c r="AQ56" s="84">
        <v>76713</v>
      </c>
      <c r="AR56" s="84">
        <v>2350936</v>
      </c>
      <c r="AS56" s="84">
        <v>5180464</v>
      </c>
      <c r="AT56" s="84">
        <v>2583074</v>
      </c>
      <c r="AU56" s="84">
        <v>6877122</v>
      </c>
      <c r="AV56" s="84">
        <v>598831</v>
      </c>
      <c r="AW56" s="84">
        <v>1516675</v>
      </c>
      <c r="AX56" s="84">
        <v>1768224</v>
      </c>
      <c r="AY56" s="84">
        <v>5460907</v>
      </c>
      <c r="AZ56" s="84">
        <v>1505</v>
      </c>
      <c r="BA56" s="84">
        <v>1536</v>
      </c>
      <c r="BB56" s="84"/>
      <c r="BC56" s="84"/>
      <c r="BD56" s="84">
        <v>1300704</v>
      </c>
      <c r="BE56" s="84">
        <v>3574407</v>
      </c>
      <c r="BF56" s="84">
        <v>27773261</v>
      </c>
      <c r="BG56" s="84">
        <v>60919019</v>
      </c>
      <c r="BH56" s="84">
        <v>16639075</v>
      </c>
      <c r="BI56" s="84">
        <v>35464101</v>
      </c>
      <c r="BJ56" s="84">
        <v>16376981</v>
      </c>
      <c r="BK56" s="84">
        <v>41426322</v>
      </c>
      <c r="BL56" s="84">
        <v>696796</v>
      </c>
      <c r="BM56" s="84">
        <v>1474452</v>
      </c>
      <c r="BN56" s="73">
        <f t="shared" si="8"/>
        <v>109728193.17884502</v>
      </c>
      <c r="BO56" s="73">
        <f t="shared" si="9"/>
        <v>256931643.9263882</v>
      </c>
    </row>
    <row r="57" spans="1:67" x14ac:dyDescent="0.25">
      <c r="A57" s="13"/>
    </row>
    <row r="58" spans="1:67" x14ac:dyDescent="0.25">
      <c r="A58" s="28" t="s">
        <v>221</v>
      </c>
    </row>
    <row r="59" spans="1:67" x14ac:dyDescent="0.25">
      <c r="A59" s="3" t="s">
        <v>0</v>
      </c>
      <c r="B59" s="103" t="s">
        <v>1</v>
      </c>
      <c r="C59" s="104"/>
      <c r="D59" s="103" t="s">
        <v>282</v>
      </c>
      <c r="E59" s="104"/>
      <c r="F59" s="103" t="s">
        <v>2</v>
      </c>
      <c r="G59" s="104"/>
      <c r="H59" s="103" t="s">
        <v>3</v>
      </c>
      <c r="I59" s="104"/>
      <c r="J59" s="103" t="s">
        <v>4</v>
      </c>
      <c r="K59" s="104"/>
      <c r="L59" s="103" t="s">
        <v>283</v>
      </c>
      <c r="M59" s="104"/>
      <c r="N59" s="103" t="s">
        <v>6</v>
      </c>
      <c r="O59" s="104"/>
      <c r="P59" s="103" t="s">
        <v>5</v>
      </c>
      <c r="Q59" s="104"/>
      <c r="R59" s="103" t="s">
        <v>7</v>
      </c>
      <c r="S59" s="104"/>
      <c r="T59" s="103" t="s">
        <v>284</v>
      </c>
      <c r="U59" s="104"/>
      <c r="V59" s="103" t="s">
        <v>8</v>
      </c>
      <c r="W59" s="104"/>
      <c r="X59" s="103" t="s">
        <v>9</v>
      </c>
      <c r="Y59" s="104"/>
      <c r="Z59" s="103" t="s">
        <v>10</v>
      </c>
      <c r="AA59" s="104"/>
      <c r="AB59" s="103" t="s">
        <v>304</v>
      </c>
      <c r="AC59" s="104"/>
      <c r="AD59" s="103" t="s">
        <v>11</v>
      </c>
      <c r="AE59" s="104"/>
      <c r="AF59" s="103" t="s">
        <v>12</v>
      </c>
      <c r="AG59" s="104"/>
      <c r="AH59" s="103" t="s">
        <v>285</v>
      </c>
      <c r="AI59" s="104"/>
      <c r="AJ59" s="103" t="s">
        <v>290</v>
      </c>
      <c r="AK59" s="104"/>
      <c r="AL59" s="103" t="s">
        <v>13</v>
      </c>
      <c r="AM59" s="104"/>
      <c r="AN59" s="103" t="s">
        <v>286</v>
      </c>
      <c r="AO59" s="104"/>
      <c r="AP59" s="103" t="s">
        <v>287</v>
      </c>
      <c r="AQ59" s="104"/>
      <c r="AR59" s="103" t="s">
        <v>291</v>
      </c>
      <c r="AS59" s="104"/>
      <c r="AT59" s="103" t="s">
        <v>305</v>
      </c>
      <c r="AU59" s="104"/>
      <c r="AV59" s="103" t="s">
        <v>14</v>
      </c>
      <c r="AW59" s="104"/>
      <c r="AX59" s="103" t="s">
        <v>15</v>
      </c>
      <c r="AY59" s="104"/>
      <c r="AZ59" s="103" t="s">
        <v>16</v>
      </c>
      <c r="BA59" s="104"/>
      <c r="BB59" s="103" t="s">
        <v>17</v>
      </c>
      <c r="BC59" s="104"/>
      <c r="BD59" s="103" t="s">
        <v>18</v>
      </c>
      <c r="BE59" s="104"/>
      <c r="BF59" s="103" t="s">
        <v>288</v>
      </c>
      <c r="BG59" s="104"/>
      <c r="BH59" s="103" t="s">
        <v>289</v>
      </c>
      <c r="BI59" s="104"/>
      <c r="BJ59" s="103" t="s">
        <v>19</v>
      </c>
      <c r="BK59" s="104"/>
      <c r="BL59" s="103" t="s">
        <v>20</v>
      </c>
      <c r="BM59" s="104"/>
      <c r="BN59" s="105" t="s">
        <v>21</v>
      </c>
      <c r="BO59" s="106"/>
    </row>
    <row r="60" spans="1:67" ht="30" x14ac:dyDescent="0.25">
      <c r="A60" s="3"/>
      <c r="B60" s="57" t="s">
        <v>293</v>
      </c>
      <c r="C60" s="58" t="s">
        <v>294</v>
      </c>
      <c r="D60" s="57" t="s">
        <v>293</v>
      </c>
      <c r="E60" s="58" t="s">
        <v>294</v>
      </c>
      <c r="F60" s="57" t="s">
        <v>293</v>
      </c>
      <c r="G60" s="58" t="s">
        <v>294</v>
      </c>
      <c r="H60" s="57" t="s">
        <v>293</v>
      </c>
      <c r="I60" s="58" t="s">
        <v>294</v>
      </c>
      <c r="J60" s="57" t="s">
        <v>293</v>
      </c>
      <c r="K60" s="58" t="s">
        <v>294</v>
      </c>
      <c r="L60" s="57" t="s">
        <v>293</v>
      </c>
      <c r="M60" s="58" t="s">
        <v>294</v>
      </c>
      <c r="N60" s="57" t="s">
        <v>293</v>
      </c>
      <c r="O60" s="58" t="s">
        <v>294</v>
      </c>
      <c r="P60" s="57" t="s">
        <v>293</v>
      </c>
      <c r="Q60" s="58" t="s">
        <v>294</v>
      </c>
      <c r="R60" s="57" t="s">
        <v>293</v>
      </c>
      <c r="S60" s="58" t="s">
        <v>294</v>
      </c>
      <c r="T60" s="57" t="s">
        <v>293</v>
      </c>
      <c r="U60" s="58" t="s">
        <v>294</v>
      </c>
      <c r="V60" s="57" t="s">
        <v>293</v>
      </c>
      <c r="W60" s="58" t="s">
        <v>294</v>
      </c>
      <c r="X60" s="57" t="s">
        <v>293</v>
      </c>
      <c r="Y60" s="58" t="s">
        <v>294</v>
      </c>
      <c r="Z60" s="57" t="s">
        <v>293</v>
      </c>
      <c r="AA60" s="58" t="s">
        <v>294</v>
      </c>
      <c r="AB60" s="57" t="s">
        <v>293</v>
      </c>
      <c r="AC60" s="58" t="s">
        <v>294</v>
      </c>
      <c r="AD60" s="57" t="s">
        <v>293</v>
      </c>
      <c r="AE60" s="58" t="s">
        <v>294</v>
      </c>
      <c r="AF60" s="57" t="s">
        <v>293</v>
      </c>
      <c r="AG60" s="58" t="s">
        <v>294</v>
      </c>
      <c r="AH60" s="57" t="s">
        <v>293</v>
      </c>
      <c r="AI60" s="58" t="s">
        <v>294</v>
      </c>
      <c r="AJ60" s="57" t="s">
        <v>293</v>
      </c>
      <c r="AK60" s="58" t="s">
        <v>294</v>
      </c>
      <c r="AL60" s="57" t="s">
        <v>293</v>
      </c>
      <c r="AM60" s="58" t="s">
        <v>294</v>
      </c>
      <c r="AN60" s="57" t="s">
        <v>293</v>
      </c>
      <c r="AO60" s="58" t="s">
        <v>294</v>
      </c>
      <c r="AP60" s="57" t="s">
        <v>293</v>
      </c>
      <c r="AQ60" s="58" t="s">
        <v>294</v>
      </c>
      <c r="AR60" s="57" t="s">
        <v>293</v>
      </c>
      <c r="AS60" s="58" t="s">
        <v>294</v>
      </c>
      <c r="AT60" s="57" t="s">
        <v>293</v>
      </c>
      <c r="AU60" s="58" t="s">
        <v>294</v>
      </c>
      <c r="AV60" s="57" t="s">
        <v>293</v>
      </c>
      <c r="AW60" s="58" t="s">
        <v>294</v>
      </c>
      <c r="AX60" s="57" t="s">
        <v>293</v>
      </c>
      <c r="AY60" s="58" t="s">
        <v>294</v>
      </c>
      <c r="AZ60" s="57" t="s">
        <v>293</v>
      </c>
      <c r="BA60" s="58" t="s">
        <v>294</v>
      </c>
      <c r="BB60" s="57" t="s">
        <v>293</v>
      </c>
      <c r="BC60" s="58" t="s">
        <v>294</v>
      </c>
      <c r="BD60" s="57" t="s">
        <v>293</v>
      </c>
      <c r="BE60" s="58" t="s">
        <v>294</v>
      </c>
      <c r="BF60" s="57" t="s">
        <v>293</v>
      </c>
      <c r="BG60" s="58" t="s">
        <v>294</v>
      </c>
      <c r="BH60" s="57" t="s">
        <v>293</v>
      </c>
      <c r="BI60" s="58" t="s">
        <v>294</v>
      </c>
      <c r="BJ60" s="57" t="s">
        <v>293</v>
      </c>
      <c r="BK60" s="58" t="s">
        <v>294</v>
      </c>
      <c r="BL60" s="57" t="s">
        <v>293</v>
      </c>
      <c r="BM60" s="58" t="s">
        <v>294</v>
      </c>
      <c r="BN60" s="57" t="s">
        <v>293</v>
      </c>
      <c r="BO60" s="58" t="s">
        <v>294</v>
      </c>
    </row>
    <row r="61" spans="1:67" x14ac:dyDescent="0.25">
      <c r="A61" s="21" t="s">
        <v>228</v>
      </c>
      <c r="B61" s="84">
        <v>4882</v>
      </c>
      <c r="C61" s="84">
        <v>9762</v>
      </c>
      <c r="D61" s="84">
        <v>66548</v>
      </c>
      <c r="E61" s="84">
        <v>109905</v>
      </c>
      <c r="F61" s="84"/>
      <c r="G61" s="84"/>
      <c r="H61" s="84">
        <v>233069</v>
      </c>
      <c r="I61" s="84">
        <v>521959</v>
      </c>
      <c r="J61" s="84">
        <v>38817</v>
      </c>
      <c r="K61" s="84">
        <v>77772</v>
      </c>
      <c r="L61" s="84">
        <v>137070</v>
      </c>
      <c r="M61" s="84">
        <v>337649</v>
      </c>
      <c r="N61" s="84"/>
      <c r="O61" s="84"/>
      <c r="P61" s="84">
        <v>1030</v>
      </c>
      <c r="Q61" s="84">
        <v>2949</v>
      </c>
      <c r="R61" s="84">
        <v>69217</v>
      </c>
      <c r="S61" s="84">
        <v>118599</v>
      </c>
      <c r="T61" s="84">
        <v>2221</v>
      </c>
      <c r="U61" s="84">
        <v>4402</v>
      </c>
      <c r="V61" s="84">
        <v>516293</v>
      </c>
      <c r="W61" s="84">
        <v>1074330</v>
      </c>
      <c r="X61" s="84">
        <v>334811</v>
      </c>
      <c r="Y61" s="84">
        <v>733810</v>
      </c>
      <c r="Z61" s="84">
        <v>189837</v>
      </c>
      <c r="AA61" s="84">
        <v>396460</v>
      </c>
      <c r="AB61" s="84">
        <v>31216</v>
      </c>
      <c r="AC61" s="84">
        <v>62704</v>
      </c>
      <c r="AD61" s="84">
        <v>30655</v>
      </c>
      <c r="AE61" s="84">
        <v>84821</v>
      </c>
      <c r="AF61" s="84">
        <v>2557</v>
      </c>
      <c r="AG61" s="84">
        <v>5310</v>
      </c>
      <c r="AH61" s="84">
        <v>6072</v>
      </c>
      <c r="AI61" s="84">
        <v>16584</v>
      </c>
      <c r="AJ61" s="84">
        <v>13742</v>
      </c>
      <c r="AK61" s="84">
        <v>28798</v>
      </c>
      <c r="AL61" s="84">
        <v>394697.86500000011</v>
      </c>
      <c r="AM61" s="84">
        <v>1188355.0220000001</v>
      </c>
      <c r="AN61" s="84">
        <v>3129</v>
      </c>
      <c r="AO61" s="84">
        <v>13324</v>
      </c>
      <c r="AP61" s="84">
        <v>3048</v>
      </c>
      <c r="AQ61" s="84">
        <v>3170</v>
      </c>
      <c r="AR61" s="84">
        <v>34580</v>
      </c>
      <c r="AS61" s="84">
        <v>80154</v>
      </c>
      <c r="AT61" s="84">
        <v>58546</v>
      </c>
      <c r="AU61" s="84">
        <v>164588</v>
      </c>
      <c r="AV61" s="84">
        <v>47029</v>
      </c>
      <c r="AW61" s="84">
        <v>110784</v>
      </c>
      <c r="AX61" s="84">
        <v>764861</v>
      </c>
      <c r="AY61" s="84">
        <v>1327597</v>
      </c>
      <c r="AZ61" s="84">
        <v>74482</v>
      </c>
      <c r="BA61" s="84">
        <v>256803</v>
      </c>
      <c r="BB61" s="84"/>
      <c r="BC61" s="84"/>
      <c r="BD61" s="84">
        <v>189158</v>
      </c>
      <c r="BE61" s="84">
        <v>392224</v>
      </c>
      <c r="BF61" s="84">
        <v>1350890</v>
      </c>
      <c r="BG61" s="84">
        <v>2798625</v>
      </c>
      <c r="BH61" s="84">
        <v>521046</v>
      </c>
      <c r="BI61" s="84">
        <v>1672211</v>
      </c>
      <c r="BJ61" s="84">
        <v>1212901</v>
      </c>
      <c r="BK61" s="84">
        <v>3225221</v>
      </c>
      <c r="BL61" s="84">
        <v>342881</v>
      </c>
      <c r="BM61" s="84">
        <v>418526</v>
      </c>
      <c r="BN61" s="73">
        <f t="shared" ref="BN61:BN67" si="10">SUM(B61+D61+F61+H61+J61+L61+N61+P61+R61+T61+V61+X61+Z61+AB61+AD61+AF61+AH61+AJ61+AL61+AN61+AP61+AR61+AT61+AV61+AX61+AZ61+BB61+BD61+BF61+BH61+BJ61+BL61)</f>
        <v>6675285.8650000002</v>
      </c>
      <c r="BO61" s="73">
        <f t="shared" ref="BO61:BO67" si="11">SUM(C61+E61+G61+I61+K61+M61+O61+Q61+S61+U61+W61+Y61+AA61+AC61+AE61+AG61+AI61+AK61+AM61+AO61+AQ61+AS61+AU61+AW61+AY61+BA61+BC61+BE61+BG61+BI61+BK61+BM61)</f>
        <v>15237396.022</v>
      </c>
    </row>
    <row r="62" spans="1:67" x14ac:dyDescent="0.25">
      <c r="A62" s="21" t="s">
        <v>279</v>
      </c>
      <c r="B62" s="84">
        <v>19817</v>
      </c>
      <c r="C62" s="84">
        <v>19817</v>
      </c>
      <c r="D62" s="84">
        <v>193687</v>
      </c>
      <c r="E62" s="84">
        <v>193687</v>
      </c>
      <c r="F62" s="84"/>
      <c r="G62" s="84"/>
      <c r="H62" s="84">
        <v>-34597</v>
      </c>
      <c r="I62" s="84">
        <v>1419269</v>
      </c>
      <c r="J62" s="84">
        <v>-26819</v>
      </c>
      <c r="K62" s="84">
        <v>189283</v>
      </c>
      <c r="L62" s="84">
        <v>412290</v>
      </c>
      <c r="M62" s="84">
        <v>412290</v>
      </c>
      <c r="N62" s="84"/>
      <c r="O62" s="84"/>
      <c r="P62" s="84">
        <v>-3113</v>
      </c>
      <c r="Q62" s="84">
        <v>-3113</v>
      </c>
      <c r="R62" s="84">
        <v>336592</v>
      </c>
      <c r="S62" s="84">
        <v>336592</v>
      </c>
      <c r="T62" s="84">
        <v>56168</v>
      </c>
      <c r="U62" s="84">
        <v>56168</v>
      </c>
      <c r="V62" s="84">
        <v>2906328</v>
      </c>
      <c r="W62" s="84">
        <v>2906328</v>
      </c>
      <c r="X62" s="84">
        <v>3961711</v>
      </c>
      <c r="Y62" s="84">
        <v>3961711</v>
      </c>
      <c r="Z62" s="84">
        <v>14413</v>
      </c>
      <c r="AA62" s="84">
        <v>446459</v>
      </c>
      <c r="AB62" s="84">
        <v>30411</v>
      </c>
      <c r="AC62" s="84">
        <v>30411</v>
      </c>
      <c r="AD62" s="84">
        <v>136824</v>
      </c>
      <c r="AE62" s="84">
        <v>136824</v>
      </c>
      <c r="AF62" s="84">
        <v>40263</v>
      </c>
      <c r="AG62" s="84">
        <v>40263</v>
      </c>
      <c r="AH62" s="84">
        <v>44845</v>
      </c>
      <c r="AI62" s="84">
        <v>44845</v>
      </c>
      <c r="AJ62" s="84">
        <v>141688</v>
      </c>
      <c r="AK62" s="84">
        <v>141688</v>
      </c>
      <c r="AL62" s="84">
        <v>613261.47629322042</v>
      </c>
      <c r="AM62" s="84">
        <v>2648429.5106021441</v>
      </c>
      <c r="AN62" s="84">
        <v>52962</v>
      </c>
      <c r="AO62" s="84">
        <v>52962</v>
      </c>
      <c r="AP62" s="84">
        <v>213</v>
      </c>
      <c r="AQ62" s="84">
        <v>1748</v>
      </c>
      <c r="AR62" s="84">
        <v>445566</v>
      </c>
      <c r="AS62" s="84">
        <v>445566</v>
      </c>
      <c r="AT62" s="84">
        <v>462917</v>
      </c>
      <c r="AU62" s="84">
        <v>462917</v>
      </c>
      <c r="AV62" s="84">
        <v>37850</v>
      </c>
      <c r="AW62" s="84">
        <v>338578</v>
      </c>
      <c r="AX62" s="84">
        <v>4920395</v>
      </c>
      <c r="AY62" s="84">
        <v>4920395</v>
      </c>
      <c r="AZ62" s="84">
        <v>54247</v>
      </c>
      <c r="BA62" s="84">
        <v>54247</v>
      </c>
      <c r="BB62" s="84"/>
      <c r="BC62" s="84"/>
      <c r="BD62" s="84">
        <v>810658</v>
      </c>
      <c r="BE62" s="84">
        <v>810658</v>
      </c>
      <c r="BF62" s="84">
        <v>3805836</v>
      </c>
      <c r="BG62" s="84">
        <v>3805836</v>
      </c>
      <c r="BH62" s="84">
        <v>-231876</v>
      </c>
      <c r="BI62" s="84">
        <v>2204604</v>
      </c>
      <c r="BJ62" s="84">
        <v>7489874</v>
      </c>
      <c r="BK62" s="84">
        <v>7489874</v>
      </c>
      <c r="BL62" s="84">
        <v>89693</v>
      </c>
      <c r="BM62" s="84">
        <v>962727</v>
      </c>
      <c r="BN62" s="73">
        <f t="shared" si="10"/>
        <v>26782104.476293221</v>
      </c>
      <c r="BO62" s="73">
        <f t="shared" si="11"/>
        <v>34531063.510602146</v>
      </c>
    </row>
    <row r="63" spans="1:67" x14ac:dyDescent="0.25">
      <c r="A63" s="21" t="s">
        <v>278</v>
      </c>
      <c r="B63" s="84">
        <v>16609</v>
      </c>
      <c r="C63" s="84">
        <v>1135</v>
      </c>
      <c r="D63" s="84">
        <v>182078</v>
      </c>
      <c r="E63" s="84">
        <v>187690</v>
      </c>
      <c r="F63" s="84"/>
      <c r="G63" s="84"/>
      <c r="H63" s="84"/>
      <c r="I63" s="84">
        <v>1154558</v>
      </c>
      <c r="J63" s="84"/>
      <c r="K63" s="84">
        <v>164894</v>
      </c>
      <c r="L63" s="84">
        <v>410286</v>
      </c>
      <c r="M63" s="84">
        <v>370345</v>
      </c>
      <c r="N63" s="84"/>
      <c r="O63" s="84"/>
      <c r="P63" s="84">
        <v>8386</v>
      </c>
      <c r="Q63" s="84">
        <v>26008</v>
      </c>
      <c r="R63" s="84">
        <v>301926</v>
      </c>
      <c r="S63" s="84">
        <v>261014</v>
      </c>
      <c r="T63" s="84">
        <v>45768</v>
      </c>
      <c r="U63" s="84">
        <v>20219</v>
      </c>
      <c r="V63" s="84">
        <v>-2716129</v>
      </c>
      <c r="W63" s="84">
        <v>-1678237</v>
      </c>
      <c r="X63" s="84">
        <v>4387418</v>
      </c>
      <c r="Y63" s="84">
        <v>3904868</v>
      </c>
      <c r="Z63" s="84"/>
      <c r="AA63" s="84">
        <v>355544</v>
      </c>
      <c r="AB63" s="84">
        <v>28950</v>
      </c>
      <c r="AC63" s="84">
        <v>24941</v>
      </c>
      <c r="AD63" s="84">
        <v>146235</v>
      </c>
      <c r="AE63" s="84">
        <v>130540</v>
      </c>
      <c r="AF63" s="84">
        <v>-38294</v>
      </c>
      <c r="AG63" s="84">
        <v>-31638</v>
      </c>
      <c r="AH63" s="84">
        <v>54443</v>
      </c>
      <c r="AI63" s="84">
        <v>64396</v>
      </c>
      <c r="AJ63" s="84">
        <v>100243</v>
      </c>
      <c r="AK63" s="84">
        <v>86814</v>
      </c>
      <c r="AL63" s="84">
        <v>0</v>
      </c>
      <c r="AM63" s="84">
        <v>1950662.348</v>
      </c>
      <c r="AN63" s="84">
        <v>-43355</v>
      </c>
      <c r="AO63" s="84">
        <v>-33767</v>
      </c>
      <c r="AP63" s="84"/>
      <c r="AQ63" s="84">
        <v>1335</v>
      </c>
      <c r="AR63" s="84">
        <v>427524</v>
      </c>
      <c r="AS63" s="84">
        <v>365948</v>
      </c>
      <c r="AT63" s="84">
        <v>449777</v>
      </c>
      <c r="AU63" s="84">
        <v>353720</v>
      </c>
      <c r="AV63" s="84"/>
      <c r="AW63" s="84">
        <v>-265480</v>
      </c>
      <c r="AX63" s="84">
        <v>5002650</v>
      </c>
      <c r="AY63" s="84">
        <v>3722334</v>
      </c>
      <c r="AZ63" s="84">
        <v>57100</v>
      </c>
      <c r="BA63" s="84">
        <v>68005</v>
      </c>
      <c r="BB63" s="84"/>
      <c r="BC63" s="84"/>
      <c r="BD63" s="84">
        <v>830828</v>
      </c>
      <c r="BE63" s="84">
        <v>768655</v>
      </c>
      <c r="BF63" s="84">
        <v>4842575</v>
      </c>
      <c r="BG63" s="84">
        <v>3816759</v>
      </c>
      <c r="BH63" s="84">
        <v>0</v>
      </c>
      <c r="BI63" s="84">
        <v>2691729</v>
      </c>
      <c r="BJ63" s="84">
        <v>7221463</v>
      </c>
      <c r="BK63" s="84">
        <v>5938065</v>
      </c>
      <c r="BL63" s="84"/>
      <c r="BM63" s="84">
        <v>476279</v>
      </c>
      <c r="BN63" s="73">
        <f t="shared" si="10"/>
        <v>21716481</v>
      </c>
      <c r="BO63" s="73">
        <f t="shared" si="11"/>
        <v>24897335.348000001</v>
      </c>
    </row>
    <row r="64" spans="1:67" x14ac:dyDescent="0.25">
      <c r="A64" s="21" t="s">
        <v>281</v>
      </c>
      <c r="B64" s="84"/>
      <c r="C64" s="84"/>
      <c r="D64" s="84"/>
      <c r="E64" s="84"/>
      <c r="F64" s="84"/>
      <c r="G64" s="84"/>
      <c r="H64" s="84">
        <v>198472</v>
      </c>
      <c r="I64" s="84">
        <v>786670</v>
      </c>
      <c r="J64" s="84"/>
      <c r="K64" s="84"/>
      <c r="L64" s="84">
        <v>139074</v>
      </c>
      <c r="M64" s="84">
        <v>379594</v>
      </c>
      <c r="N64" s="84"/>
      <c r="O64" s="84"/>
      <c r="P64" s="84">
        <v>-10469</v>
      </c>
      <c r="Q64" s="84">
        <v>-26172</v>
      </c>
      <c r="R64" s="84"/>
      <c r="S64" s="84"/>
      <c r="T64" s="84"/>
      <c r="U64" s="84"/>
      <c r="V64" s="84">
        <v>706492</v>
      </c>
      <c r="W64" s="84">
        <v>2302421</v>
      </c>
      <c r="X64" s="84">
        <v>-90896</v>
      </c>
      <c r="Y64" s="84">
        <v>790653</v>
      </c>
      <c r="Z64" s="84">
        <v>204250</v>
      </c>
      <c r="AA64" s="84">
        <v>487375</v>
      </c>
      <c r="AB64" s="84">
        <v>32677</v>
      </c>
      <c r="AC64" s="84">
        <v>68174</v>
      </c>
      <c r="AD64" s="84">
        <v>21244</v>
      </c>
      <c r="AE64" s="84">
        <v>91106</v>
      </c>
      <c r="AF64" s="84">
        <v>4526</v>
      </c>
      <c r="AG64" s="84">
        <v>13935</v>
      </c>
      <c r="AH64" s="84">
        <v>-3526</v>
      </c>
      <c r="AI64" s="84">
        <v>-2967</v>
      </c>
      <c r="AJ64" s="84">
        <v>55187</v>
      </c>
      <c r="AK64" s="84">
        <v>83672</v>
      </c>
      <c r="AL64" s="84"/>
      <c r="AM64" s="84"/>
      <c r="AN64" s="84">
        <v>12736</v>
      </c>
      <c r="AO64" s="84">
        <v>32519</v>
      </c>
      <c r="AP64" s="84">
        <v>3261</v>
      </c>
      <c r="AQ64" s="84">
        <v>3583</v>
      </c>
      <c r="AR64" s="84"/>
      <c r="AS64" s="84"/>
      <c r="AT64" s="84">
        <v>71686</v>
      </c>
      <c r="AU64" s="84">
        <v>273785</v>
      </c>
      <c r="AV64" s="84">
        <v>84879</v>
      </c>
      <c r="AW64" s="84">
        <v>183882</v>
      </c>
      <c r="AX64" s="84"/>
      <c r="AY64" s="84"/>
      <c r="AZ64" s="84"/>
      <c r="BA64" s="84"/>
      <c r="BB64" s="84"/>
      <c r="BC64" s="84"/>
      <c r="BD64" s="84">
        <v>168988</v>
      </c>
      <c r="BE64" s="84">
        <v>434227</v>
      </c>
      <c r="BF64" s="84">
        <v>314151</v>
      </c>
      <c r="BG64" s="84">
        <v>2787701</v>
      </c>
      <c r="BH64" s="84">
        <v>289170</v>
      </c>
      <c r="BI64" s="84">
        <v>1185086</v>
      </c>
      <c r="BJ64" s="84">
        <v>1481312</v>
      </c>
      <c r="BK64" s="84">
        <v>4777030</v>
      </c>
      <c r="BL64" s="84">
        <v>432574</v>
      </c>
      <c r="BM64" s="84">
        <v>904974</v>
      </c>
      <c r="BN64" s="73">
        <f t="shared" si="10"/>
        <v>4115788</v>
      </c>
      <c r="BO64" s="73">
        <f t="shared" si="11"/>
        <v>15557248</v>
      </c>
    </row>
    <row r="65" spans="1:67" x14ac:dyDescent="0.25">
      <c r="A65" s="21" t="s">
        <v>276</v>
      </c>
      <c r="B65" s="84"/>
      <c r="C65" s="84"/>
      <c r="D65" s="84"/>
      <c r="E65" s="84"/>
      <c r="F65" s="84"/>
      <c r="G65" s="84"/>
      <c r="H65" s="84"/>
      <c r="I65" s="84">
        <v>3489</v>
      </c>
      <c r="J65" s="84"/>
      <c r="K65" s="84"/>
      <c r="L65" s="84"/>
      <c r="M65" s="84"/>
      <c r="N65" s="84"/>
      <c r="O65" s="84"/>
      <c r="P65" s="84">
        <v>15643</v>
      </c>
      <c r="Q65" s="84">
        <v>15643</v>
      </c>
      <c r="R65" s="84"/>
      <c r="S65" s="84"/>
      <c r="T65" s="84"/>
      <c r="U65" s="84"/>
      <c r="V65" s="84"/>
      <c r="W65" s="84"/>
      <c r="X65" s="84"/>
      <c r="Y65" s="84">
        <v>5418</v>
      </c>
      <c r="Z65" s="84"/>
      <c r="AA65" s="84">
        <v>5989</v>
      </c>
      <c r="AB65" s="84"/>
      <c r="AC65" s="84"/>
      <c r="AD65" s="84"/>
      <c r="AE65" s="84"/>
      <c r="AF65" s="84"/>
      <c r="AG65" s="84">
        <v>2945</v>
      </c>
      <c r="AH65" s="84"/>
      <c r="AI65" s="84"/>
      <c r="AJ65" s="84"/>
      <c r="AK65" s="84"/>
      <c r="AL65" s="84">
        <v>0</v>
      </c>
      <c r="AM65" s="84">
        <v>0</v>
      </c>
      <c r="AN65" s="84"/>
      <c r="AO65" s="84"/>
      <c r="AP65" s="84"/>
      <c r="AQ65" s="84"/>
      <c r="AR65" s="84">
        <v>408</v>
      </c>
      <c r="AS65" s="84">
        <v>408</v>
      </c>
      <c r="AT65" s="84"/>
      <c r="AU65" s="84"/>
      <c r="AV65" s="84"/>
      <c r="AW65" s="84">
        <v>15209</v>
      </c>
      <c r="AX65" s="84"/>
      <c r="AY65" s="84"/>
      <c r="AZ65" s="84"/>
      <c r="BA65" s="84"/>
      <c r="BB65" s="84"/>
      <c r="BC65" s="84"/>
      <c r="BD65" s="84"/>
      <c r="BE65" s="84"/>
      <c r="BF65" s="84">
        <v>15869</v>
      </c>
      <c r="BG65" s="84">
        <v>50008</v>
      </c>
      <c r="BH65" s="84">
        <v>-64</v>
      </c>
      <c r="BI65" s="84">
        <v>37128</v>
      </c>
      <c r="BJ65" s="84">
        <v>-24</v>
      </c>
      <c r="BK65" s="84">
        <v>778</v>
      </c>
      <c r="BL65" s="84"/>
      <c r="BM65" s="84"/>
      <c r="BN65" s="73">
        <f t="shared" si="10"/>
        <v>31832</v>
      </c>
      <c r="BO65" s="73">
        <f t="shared" si="11"/>
        <v>137015</v>
      </c>
    </row>
    <row r="66" spans="1:67" x14ac:dyDescent="0.25">
      <c r="A66" s="21" t="s">
        <v>277</v>
      </c>
      <c r="B66" s="84">
        <v>244</v>
      </c>
      <c r="C66" s="84">
        <v>488</v>
      </c>
      <c r="D66" s="84">
        <v>20341</v>
      </c>
      <c r="E66" s="84">
        <v>22510</v>
      </c>
      <c r="F66" s="84"/>
      <c r="G66" s="84"/>
      <c r="H66" s="84">
        <v>15051</v>
      </c>
      <c r="I66" s="84">
        <v>37107</v>
      </c>
      <c r="J66" s="84">
        <v>2547</v>
      </c>
      <c r="K66" s="84">
        <v>4467</v>
      </c>
      <c r="L66" s="84">
        <v>31024</v>
      </c>
      <c r="M66" s="84">
        <v>79028</v>
      </c>
      <c r="N66" s="84"/>
      <c r="O66" s="84"/>
      <c r="P66" s="84">
        <v>3625</v>
      </c>
      <c r="Q66" s="84">
        <v>-16383</v>
      </c>
      <c r="R66" s="84">
        <v>19213</v>
      </c>
      <c r="S66" s="84">
        <v>29465</v>
      </c>
      <c r="T66" s="84">
        <v>111</v>
      </c>
      <c r="U66" s="84">
        <v>220</v>
      </c>
      <c r="V66" s="84">
        <f>-141620-841410+751559</f>
        <v>-231471</v>
      </c>
      <c r="W66" s="84">
        <f>-296210-841410+410982</f>
        <v>-726638</v>
      </c>
      <c r="X66" s="84">
        <v>30657</v>
      </c>
      <c r="Y66" s="84">
        <v>69358</v>
      </c>
      <c r="Z66" s="84">
        <v>25521</v>
      </c>
      <c r="AA66" s="84">
        <v>140318</v>
      </c>
      <c r="AB66" s="84">
        <v>25187</v>
      </c>
      <c r="AC66" s="84">
        <v>49863</v>
      </c>
      <c r="AD66" s="84">
        <v>1537</v>
      </c>
      <c r="AE66" s="84">
        <v>4243</v>
      </c>
      <c r="AF66" s="84">
        <v>-354</v>
      </c>
      <c r="AG66" s="84">
        <v>-492</v>
      </c>
      <c r="AH66" s="84">
        <v>315</v>
      </c>
      <c r="AI66" s="84">
        <v>866</v>
      </c>
      <c r="AJ66" s="84">
        <v>2940</v>
      </c>
      <c r="AK66" s="84">
        <v>5710</v>
      </c>
      <c r="AL66" s="84">
        <v>52170.453999999998</v>
      </c>
      <c r="AM66" s="84">
        <v>111766.12</v>
      </c>
      <c r="AN66" s="84">
        <v>-1594</v>
      </c>
      <c r="AO66" s="84">
        <v>-5739</v>
      </c>
      <c r="AP66" s="84">
        <v>2319</v>
      </c>
      <c r="AQ66" s="84">
        <v>2411</v>
      </c>
      <c r="AR66" s="84">
        <v>9979</v>
      </c>
      <c r="AS66" s="84">
        <v>18828</v>
      </c>
      <c r="AT66" s="84">
        <v>3693</v>
      </c>
      <c r="AU66" s="84">
        <v>21050</v>
      </c>
      <c r="AV66" s="84">
        <v>-4153</v>
      </c>
      <c r="AW66" s="84">
        <v>-16093</v>
      </c>
      <c r="AX66" s="84">
        <v>38324</v>
      </c>
      <c r="AY66" s="84">
        <v>66882</v>
      </c>
      <c r="AZ66" s="84">
        <v>68481</v>
      </c>
      <c r="BA66" s="84">
        <v>239246</v>
      </c>
      <c r="BB66" s="84"/>
      <c r="BC66" s="84"/>
      <c r="BD66" s="84">
        <v>25779</v>
      </c>
      <c r="BE66" s="84">
        <v>36133</v>
      </c>
      <c r="BF66" s="84">
        <v>69731</v>
      </c>
      <c r="BG66" s="84">
        <v>139994</v>
      </c>
      <c r="BH66" s="84">
        <v>-113946</v>
      </c>
      <c r="BI66" s="84">
        <v>-100604</v>
      </c>
      <c r="BJ66" s="84">
        <v>943575</v>
      </c>
      <c r="BK66" s="84">
        <v>3084260</v>
      </c>
      <c r="BL66" s="84">
        <v>47423</v>
      </c>
      <c r="BM66" s="84">
        <v>59699</v>
      </c>
      <c r="BN66" s="73">
        <f t="shared" si="10"/>
        <v>1088269.4539999999</v>
      </c>
      <c r="BO66" s="73">
        <f t="shared" si="11"/>
        <v>3357963.12</v>
      </c>
    </row>
    <row r="67" spans="1:67" x14ac:dyDescent="0.25">
      <c r="A67" s="21" t="s">
        <v>273</v>
      </c>
      <c r="B67" s="84">
        <v>7846</v>
      </c>
      <c r="C67" s="84">
        <v>27956</v>
      </c>
      <c r="D67" s="84">
        <v>57815</v>
      </c>
      <c r="E67" s="84">
        <v>93392</v>
      </c>
      <c r="F67" s="84"/>
      <c r="G67" s="84"/>
      <c r="H67" s="84">
        <v>183421</v>
      </c>
      <c r="I67" s="84">
        <v>753052</v>
      </c>
      <c r="J67" s="84">
        <v>9450</v>
      </c>
      <c r="K67" s="84">
        <v>97694</v>
      </c>
      <c r="L67" s="84">
        <v>108050</v>
      </c>
      <c r="M67" s="84">
        <v>300566</v>
      </c>
      <c r="N67" s="84"/>
      <c r="O67" s="84"/>
      <c r="P67" s="84">
        <v>1549</v>
      </c>
      <c r="Q67" s="84">
        <v>5854</v>
      </c>
      <c r="R67" s="84">
        <v>84670</v>
      </c>
      <c r="S67" s="84">
        <v>164712</v>
      </c>
      <c r="T67" s="84">
        <v>12509</v>
      </c>
      <c r="U67" s="84">
        <v>40131</v>
      </c>
      <c r="V67" s="84">
        <v>475020</v>
      </c>
      <c r="W67" s="84">
        <v>1575783</v>
      </c>
      <c r="X67" s="84">
        <v>100299</v>
      </c>
      <c r="Y67" s="84">
        <v>830583</v>
      </c>
      <c r="Z67" s="84">
        <v>178729</v>
      </c>
      <c r="AA67" s="84">
        <v>353046</v>
      </c>
      <c r="AB67" s="84">
        <v>7490</v>
      </c>
      <c r="AC67" s="84">
        <v>18311</v>
      </c>
      <c r="AD67" s="84">
        <v>22418</v>
      </c>
      <c r="AE67" s="84">
        <v>88790</v>
      </c>
      <c r="AF67" s="84">
        <v>4543</v>
      </c>
      <c r="AG67" s="84">
        <v>15943</v>
      </c>
      <c r="AH67" s="84">
        <v>-3841</v>
      </c>
      <c r="AI67" s="84">
        <v>-3833</v>
      </c>
      <c r="AJ67" s="84">
        <v>52247</v>
      </c>
      <c r="AK67" s="84">
        <v>77962</v>
      </c>
      <c r="AL67" s="84">
        <v>955788.8872932205</v>
      </c>
      <c r="AM67" s="84">
        <v>1774356.0646021443</v>
      </c>
      <c r="AN67" s="84">
        <v>5858</v>
      </c>
      <c r="AO67" s="84">
        <v>16223</v>
      </c>
      <c r="AP67" s="84">
        <v>943</v>
      </c>
      <c r="AQ67" s="84">
        <v>1172</v>
      </c>
      <c r="AR67" s="84">
        <v>43051</v>
      </c>
      <c r="AS67" s="84">
        <v>141352</v>
      </c>
      <c r="AT67" s="84">
        <v>67993</v>
      </c>
      <c r="AU67" s="84">
        <v>252735</v>
      </c>
      <c r="AV67" s="84">
        <v>60339</v>
      </c>
      <c r="AW67" s="84">
        <v>149297</v>
      </c>
      <c r="AX67" s="84">
        <v>644282</v>
      </c>
      <c r="AY67" s="84">
        <v>2458776</v>
      </c>
      <c r="AZ67" s="84">
        <v>3147</v>
      </c>
      <c r="BA67" s="84">
        <v>3799</v>
      </c>
      <c r="BB67" s="84"/>
      <c r="BC67" s="84"/>
      <c r="BD67" s="84">
        <v>143209</v>
      </c>
      <c r="BE67" s="84">
        <v>398094</v>
      </c>
      <c r="BF67" s="84">
        <v>314729</v>
      </c>
      <c r="BG67" s="84">
        <v>2684846</v>
      </c>
      <c r="BH67" s="84">
        <v>403052</v>
      </c>
      <c r="BI67" s="84">
        <v>1322818</v>
      </c>
      <c r="BJ67" s="84">
        <v>537713</v>
      </c>
      <c r="BK67" s="84">
        <v>1693548</v>
      </c>
      <c r="BL67" s="84">
        <v>385151</v>
      </c>
      <c r="BM67" s="84">
        <v>845275</v>
      </c>
      <c r="BN67" s="73">
        <f t="shared" si="10"/>
        <v>4867470.8872932205</v>
      </c>
      <c r="BO67" s="73">
        <f t="shared" si="11"/>
        <v>16182233.064602144</v>
      </c>
    </row>
    <row r="68" spans="1:67" x14ac:dyDescent="0.25">
      <c r="A68" s="13"/>
    </row>
    <row r="69" spans="1:67" x14ac:dyDescent="0.25">
      <c r="A69" s="28" t="s">
        <v>222</v>
      </c>
    </row>
    <row r="70" spans="1:67" x14ac:dyDescent="0.25">
      <c r="A70" s="3" t="s">
        <v>0</v>
      </c>
      <c r="B70" s="103" t="s">
        <v>1</v>
      </c>
      <c r="C70" s="104"/>
      <c r="D70" s="103" t="s">
        <v>282</v>
      </c>
      <c r="E70" s="104"/>
      <c r="F70" s="103" t="s">
        <v>2</v>
      </c>
      <c r="G70" s="104"/>
      <c r="H70" s="103" t="s">
        <v>3</v>
      </c>
      <c r="I70" s="104"/>
      <c r="J70" s="103" t="s">
        <v>4</v>
      </c>
      <c r="K70" s="104"/>
      <c r="L70" s="103" t="s">
        <v>283</v>
      </c>
      <c r="M70" s="104"/>
      <c r="N70" s="103" t="s">
        <v>6</v>
      </c>
      <c r="O70" s="104"/>
      <c r="P70" s="103" t="s">
        <v>5</v>
      </c>
      <c r="Q70" s="104"/>
      <c r="R70" s="103" t="s">
        <v>7</v>
      </c>
      <c r="S70" s="104"/>
      <c r="T70" s="103" t="s">
        <v>284</v>
      </c>
      <c r="U70" s="104"/>
      <c r="V70" s="103" t="s">
        <v>8</v>
      </c>
      <c r="W70" s="104"/>
      <c r="X70" s="103" t="s">
        <v>9</v>
      </c>
      <c r="Y70" s="104"/>
      <c r="Z70" s="103" t="s">
        <v>10</v>
      </c>
      <c r="AA70" s="104"/>
      <c r="AB70" s="103" t="s">
        <v>304</v>
      </c>
      <c r="AC70" s="104"/>
      <c r="AD70" s="103" t="s">
        <v>11</v>
      </c>
      <c r="AE70" s="104"/>
      <c r="AF70" s="103" t="s">
        <v>12</v>
      </c>
      <c r="AG70" s="104"/>
      <c r="AH70" s="103" t="s">
        <v>285</v>
      </c>
      <c r="AI70" s="104"/>
      <c r="AJ70" s="103" t="s">
        <v>290</v>
      </c>
      <c r="AK70" s="104"/>
      <c r="AL70" s="103" t="s">
        <v>13</v>
      </c>
      <c r="AM70" s="104"/>
      <c r="AN70" s="103" t="s">
        <v>286</v>
      </c>
      <c r="AO70" s="104"/>
      <c r="AP70" s="103" t="s">
        <v>287</v>
      </c>
      <c r="AQ70" s="104"/>
      <c r="AR70" s="103" t="s">
        <v>291</v>
      </c>
      <c r="AS70" s="104"/>
      <c r="AT70" s="103" t="s">
        <v>305</v>
      </c>
      <c r="AU70" s="104"/>
      <c r="AV70" s="103" t="s">
        <v>14</v>
      </c>
      <c r="AW70" s="104"/>
      <c r="AX70" s="103" t="s">
        <v>15</v>
      </c>
      <c r="AY70" s="104"/>
      <c r="AZ70" s="103" t="s">
        <v>16</v>
      </c>
      <c r="BA70" s="104"/>
      <c r="BB70" s="103" t="s">
        <v>17</v>
      </c>
      <c r="BC70" s="104"/>
      <c r="BD70" s="103" t="s">
        <v>18</v>
      </c>
      <c r="BE70" s="104"/>
      <c r="BF70" s="103" t="s">
        <v>288</v>
      </c>
      <c r="BG70" s="104"/>
      <c r="BH70" s="103" t="s">
        <v>289</v>
      </c>
      <c r="BI70" s="104"/>
      <c r="BJ70" s="103" t="s">
        <v>19</v>
      </c>
      <c r="BK70" s="104"/>
      <c r="BL70" s="103" t="s">
        <v>20</v>
      </c>
      <c r="BM70" s="104"/>
      <c r="BN70" s="105" t="s">
        <v>21</v>
      </c>
      <c r="BO70" s="106"/>
    </row>
    <row r="71" spans="1:67" ht="30" x14ac:dyDescent="0.25">
      <c r="A71" s="3"/>
      <c r="B71" s="57" t="s">
        <v>293</v>
      </c>
      <c r="C71" s="58" t="s">
        <v>294</v>
      </c>
      <c r="D71" s="57" t="s">
        <v>293</v>
      </c>
      <c r="E71" s="58" t="s">
        <v>294</v>
      </c>
      <c r="F71" s="57" t="s">
        <v>293</v>
      </c>
      <c r="G71" s="58" t="s">
        <v>294</v>
      </c>
      <c r="H71" s="57" t="s">
        <v>293</v>
      </c>
      <c r="I71" s="58" t="s">
        <v>294</v>
      </c>
      <c r="J71" s="57" t="s">
        <v>293</v>
      </c>
      <c r="K71" s="58" t="s">
        <v>294</v>
      </c>
      <c r="L71" s="57" t="s">
        <v>293</v>
      </c>
      <c r="M71" s="58" t="s">
        <v>294</v>
      </c>
      <c r="N71" s="57" t="s">
        <v>293</v>
      </c>
      <c r="O71" s="58" t="s">
        <v>294</v>
      </c>
      <c r="P71" s="57" t="s">
        <v>293</v>
      </c>
      <c r="Q71" s="58" t="s">
        <v>294</v>
      </c>
      <c r="R71" s="57" t="s">
        <v>293</v>
      </c>
      <c r="S71" s="58" t="s">
        <v>294</v>
      </c>
      <c r="T71" s="57" t="s">
        <v>293</v>
      </c>
      <c r="U71" s="58" t="s">
        <v>294</v>
      </c>
      <c r="V71" s="57" t="s">
        <v>293</v>
      </c>
      <c r="W71" s="58" t="s">
        <v>294</v>
      </c>
      <c r="X71" s="57" t="s">
        <v>293</v>
      </c>
      <c r="Y71" s="58" t="s">
        <v>294</v>
      </c>
      <c r="Z71" s="57" t="s">
        <v>293</v>
      </c>
      <c r="AA71" s="58" t="s">
        <v>294</v>
      </c>
      <c r="AB71" s="57" t="s">
        <v>293</v>
      </c>
      <c r="AC71" s="58" t="s">
        <v>294</v>
      </c>
      <c r="AD71" s="57" t="s">
        <v>293</v>
      </c>
      <c r="AE71" s="58" t="s">
        <v>294</v>
      </c>
      <c r="AF71" s="57" t="s">
        <v>293</v>
      </c>
      <c r="AG71" s="58" t="s">
        <v>294</v>
      </c>
      <c r="AH71" s="57" t="s">
        <v>293</v>
      </c>
      <c r="AI71" s="58" t="s">
        <v>294</v>
      </c>
      <c r="AJ71" s="57" t="s">
        <v>293</v>
      </c>
      <c r="AK71" s="58" t="s">
        <v>294</v>
      </c>
      <c r="AL71" s="57" t="s">
        <v>293</v>
      </c>
      <c r="AM71" s="58" t="s">
        <v>294</v>
      </c>
      <c r="AN71" s="57" t="s">
        <v>293</v>
      </c>
      <c r="AO71" s="58" t="s">
        <v>294</v>
      </c>
      <c r="AP71" s="57" t="s">
        <v>293</v>
      </c>
      <c r="AQ71" s="58" t="s">
        <v>294</v>
      </c>
      <c r="AR71" s="57" t="s">
        <v>293</v>
      </c>
      <c r="AS71" s="58" t="s">
        <v>294</v>
      </c>
      <c r="AT71" s="57" t="s">
        <v>293</v>
      </c>
      <c r="AU71" s="58" t="s">
        <v>294</v>
      </c>
      <c r="AV71" s="57" t="s">
        <v>293</v>
      </c>
      <c r="AW71" s="58" t="s">
        <v>294</v>
      </c>
      <c r="AX71" s="57" t="s">
        <v>293</v>
      </c>
      <c r="AY71" s="58" t="s">
        <v>294</v>
      </c>
      <c r="AZ71" s="57" t="s">
        <v>293</v>
      </c>
      <c r="BA71" s="58" t="s">
        <v>294</v>
      </c>
      <c r="BB71" s="57" t="s">
        <v>293</v>
      </c>
      <c r="BC71" s="58" t="s">
        <v>294</v>
      </c>
      <c r="BD71" s="57" t="s">
        <v>293</v>
      </c>
      <c r="BE71" s="58" t="s">
        <v>294</v>
      </c>
      <c r="BF71" s="57" t="s">
        <v>293</v>
      </c>
      <c r="BG71" s="58" t="s">
        <v>294</v>
      </c>
      <c r="BH71" s="57" t="s">
        <v>293</v>
      </c>
      <c r="BI71" s="58" t="s">
        <v>294</v>
      </c>
      <c r="BJ71" s="57" t="s">
        <v>293</v>
      </c>
      <c r="BK71" s="58" t="s">
        <v>294</v>
      </c>
      <c r="BL71" s="57" t="s">
        <v>293</v>
      </c>
      <c r="BM71" s="58" t="s">
        <v>294</v>
      </c>
      <c r="BN71" s="57" t="s">
        <v>293</v>
      </c>
      <c r="BO71" s="58" t="s">
        <v>294</v>
      </c>
    </row>
    <row r="72" spans="1:67" x14ac:dyDescent="0.25">
      <c r="A72" s="21" t="s">
        <v>228</v>
      </c>
      <c r="B72" s="84">
        <v>77713</v>
      </c>
      <c r="C72" s="84">
        <v>223911</v>
      </c>
      <c r="D72" s="84"/>
      <c r="E72" s="84"/>
      <c r="F72" s="84"/>
      <c r="G72" s="84"/>
      <c r="H72" s="84">
        <v>96703</v>
      </c>
      <c r="I72" s="84">
        <v>186384</v>
      </c>
      <c r="J72" s="84">
        <v>5237</v>
      </c>
      <c r="K72" s="84">
        <v>7930</v>
      </c>
      <c r="L72" s="84">
        <v>18092</v>
      </c>
      <c r="M72" s="84">
        <v>20366</v>
      </c>
      <c r="N72" s="84"/>
      <c r="O72" s="84"/>
      <c r="P72" s="84"/>
      <c r="Q72" s="84"/>
      <c r="R72" s="84">
        <v>1276</v>
      </c>
      <c r="S72" s="84">
        <v>6539</v>
      </c>
      <c r="T72" s="84"/>
      <c r="U72" s="84"/>
      <c r="V72" s="84">
        <v>3348</v>
      </c>
      <c r="W72" s="84">
        <v>3384</v>
      </c>
      <c r="X72" s="84">
        <v>35246</v>
      </c>
      <c r="Y72" s="84">
        <v>72126</v>
      </c>
      <c r="Z72" s="84">
        <v>10942</v>
      </c>
      <c r="AA72" s="84">
        <v>16781</v>
      </c>
      <c r="AB72" s="84"/>
      <c r="AC72" s="84"/>
      <c r="AD72" s="84">
        <v>2091</v>
      </c>
      <c r="AE72" s="84">
        <v>2320</v>
      </c>
      <c r="AF72" s="84"/>
      <c r="AG72" s="84"/>
      <c r="AH72" s="84"/>
      <c r="AI72" s="84"/>
      <c r="AJ72" s="84"/>
      <c r="AK72" s="84"/>
      <c r="AL72" s="84">
        <v>4850.3740000000016</v>
      </c>
      <c r="AM72" s="84">
        <v>18500.919000000002</v>
      </c>
      <c r="AN72" s="84"/>
      <c r="AO72" s="84"/>
      <c r="AP72" s="84">
        <v>145</v>
      </c>
      <c r="AQ72" s="84">
        <v>2146</v>
      </c>
      <c r="AR72" s="84">
        <v>1407</v>
      </c>
      <c r="AS72" s="84">
        <v>21152</v>
      </c>
      <c r="AT72" s="84"/>
      <c r="AU72" s="84"/>
      <c r="AV72" s="84">
        <v>673</v>
      </c>
      <c r="AW72" s="84">
        <v>2176</v>
      </c>
      <c r="AX72" s="84">
        <v>2403</v>
      </c>
      <c r="AY72" s="84">
        <v>5205</v>
      </c>
      <c r="AZ72" s="84"/>
      <c r="BA72" s="84"/>
      <c r="BB72" s="84"/>
      <c r="BC72" s="84"/>
      <c r="BD72" s="84">
        <v>418237</v>
      </c>
      <c r="BE72" s="84">
        <v>1380433</v>
      </c>
      <c r="BF72" s="84">
        <v>605148</v>
      </c>
      <c r="BG72" s="84">
        <v>1429417</v>
      </c>
      <c r="BH72" s="84">
        <v>11836</v>
      </c>
      <c r="BI72" s="84">
        <v>41919</v>
      </c>
      <c r="BJ72" s="84">
        <v>21634</v>
      </c>
      <c r="BK72" s="84">
        <v>89302</v>
      </c>
      <c r="BL72" s="84"/>
      <c r="BM72" s="84"/>
      <c r="BN72" s="73">
        <f t="shared" ref="BN72:BN78" si="12">SUM(B72+D72+F72+H72+J72+L72+N72+P72+R72+T72+V72+X72+Z72+AB72+AD72+AF72+AH72+AJ72+AL72+AN72+AP72+AR72+AT72+AV72+AX72+AZ72+BB72+BD72+BF72+BH72+BJ72+BL72)</f>
        <v>1316981.3740000001</v>
      </c>
      <c r="BO72" s="73">
        <f t="shared" ref="BO72:BO78" si="13">SUM(C72+E72+G72+I72+K72+M72+O72+Q72+S72+U72+W72+Y72+AA72+AC72+AE72+AG72+AI72+AK72+AM72+AO72+AQ72+AS72+AU72+AW72+AY72+BA72+BC72+BE72+BG72+BI72+BK72+BM72)</f>
        <v>3529991.9189999998</v>
      </c>
    </row>
    <row r="73" spans="1:67" x14ac:dyDescent="0.25">
      <c r="A73" s="21" t="s">
        <v>279</v>
      </c>
      <c r="B73" s="84">
        <v>41323</v>
      </c>
      <c r="C73" s="84">
        <v>41323</v>
      </c>
      <c r="D73" s="84"/>
      <c r="E73" s="84"/>
      <c r="F73" s="84"/>
      <c r="G73" s="84"/>
      <c r="H73" s="84">
        <v>17575</v>
      </c>
      <c r="I73" s="84">
        <v>124851</v>
      </c>
      <c r="J73" s="84">
        <v>24832</v>
      </c>
      <c r="K73" s="84">
        <v>280057</v>
      </c>
      <c r="L73" s="84">
        <v>20731</v>
      </c>
      <c r="M73" s="84">
        <v>20731</v>
      </c>
      <c r="N73" s="84"/>
      <c r="O73" s="84"/>
      <c r="P73" s="84"/>
      <c r="Q73" s="84"/>
      <c r="R73" s="84">
        <v>44429</v>
      </c>
      <c r="S73" s="84">
        <v>44429</v>
      </c>
      <c r="T73" s="84"/>
      <c r="U73" s="84"/>
      <c r="V73" s="84">
        <v>17271</v>
      </c>
      <c r="W73" s="84">
        <v>17271</v>
      </c>
      <c r="X73" s="84">
        <v>632469</v>
      </c>
      <c r="Y73" s="84">
        <v>632469</v>
      </c>
      <c r="Z73" s="84">
        <v>18070</v>
      </c>
      <c r="AA73" s="84">
        <v>281227</v>
      </c>
      <c r="AB73" s="84"/>
      <c r="AC73" s="84"/>
      <c r="AD73" s="84">
        <v>76934</v>
      </c>
      <c r="AE73" s="84">
        <v>76934</v>
      </c>
      <c r="AF73" s="84">
        <v>6362</v>
      </c>
      <c r="AG73" s="84">
        <v>6362</v>
      </c>
      <c r="AH73" s="84"/>
      <c r="AI73" s="84"/>
      <c r="AJ73" s="84"/>
      <c r="AK73" s="84"/>
      <c r="AL73" s="84">
        <v>34181.353405521986</v>
      </c>
      <c r="AM73" s="84">
        <v>804483.60791255662</v>
      </c>
      <c r="AN73" s="84"/>
      <c r="AO73" s="84"/>
      <c r="AP73" s="84">
        <v>3531</v>
      </c>
      <c r="AQ73" s="84">
        <v>58280</v>
      </c>
      <c r="AR73" s="84">
        <v>189962</v>
      </c>
      <c r="AS73" s="84">
        <v>189962</v>
      </c>
      <c r="AT73" s="84"/>
      <c r="AU73" s="84"/>
      <c r="AV73" s="84">
        <v>3509</v>
      </c>
      <c r="AW73" s="84">
        <v>31560</v>
      </c>
      <c r="AX73" s="84">
        <v>56126</v>
      </c>
      <c r="AY73" s="84">
        <v>56126</v>
      </c>
      <c r="AZ73" s="84">
        <v>5769</v>
      </c>
      <c r="BA73" s="84">
        <v>5769</v>
      </c>
      <c r="BB73" s="84"/>
      <c r="BC73" s="84"/>
      <c r="BD73" s="84">
        <v>2411665</v>
      </c>
      <c r="BE73" s="84">
        <v>2411665</v>
      </c>
      <c r="BF73" s="84">
        <v>6797667</v>
      </c>
      <c r="BG73" s="84">
        <v>6797667</v>
      </c>
      <c r="BH73" s="84">
        <v>60860</v>
      </c>
      <c r="BI73" s="84">
        <v>1484023</v>
      </c>
      <c r="BJ73" s="84">
        <v>2725238</v>
      </c>
      <c r="BK73" s="84">
        <v>2725238</v>
      </c>
      <c r="BL73" s="84">
        <v>5964</v>
      </c>
      <c r="BM73" s="84">
        <v>8859</v>
      </c>
      <c r="BN73" s="73">
        <f t="shared" si="12"/>
        <v>13194468.353405522</v>
      </c>
      <c r="BO73" s="73">
        <f t="shared" si="13"/>
        <v>16099286.607912557</v>
      </c>
    </row>
    <row r="74" spans="1:67" x14ac:dyDescent="0.25">
      <c r="A74" s="21" t="s">
        <v>278</v>
      </c>
      <c r="B74" s="84">
        <v>38621</v>
      </c>
      <c r="C74" s="84">
        <v>23787</v>
      </c>
      <c r="D74" s="84"/>
      <c r="E74" s="84"/>
      <c r="F74" s="84"/>
      <c r="G74" s="84"/>
      <c r="H74" s="84"/>
      <c r="I74" s="84">
        <v>88157</v>
      </c>
      <c r="J74" s="84"/>
      <c r="K74" s="84">
        <v>214107</v>
      </c>
      <c r="L74" s="84">
        <v>20022</v>
      </c>
      <c r="M74" s="84">
        <v>15312</v>
      </c>
      <c r="N74" s="84"/>
      <c r="O74" s="84"/>
      <c r="P74" s="84"/>
      <c r="Q74" s="84">
        <v>992</v>
      </c>
      <c r="R74" s="84">
        <v>34303</v>
      </c>
      <c r="S74" s="84">
        <v>31634</v>
      </c>
      <c r="T74" s="84"/>
      <c r="U74" s="84"/>
      <c r="V74" s="84">
        <v>-19108</v>
      </c>
      <c r="W74" s="84">
        <v>-11587</v>
      </c>
      <c r="X74" s="84">
        <v>592938</v>
      </c>
      <c r="Y74" s="84">
        <v>495362</v>
      </c>
      <c r="Z74" s="84"/>
      <c r="AA74" s="84">
        <v>191339</v>
      </c>
      <c r="AB74" s="84"/>
      <c r="AC74" s="84"/>
      <c r="AD74" s="84">
        <v>42088</v>
      </c>
      <c r="AE74" s="84">
        <v>29002</v>
      </c>
      <c r="AF74" s="84">
        <v>-6297</v>
      </c>
      <c r="AG74" s="84">
        <v>-2250</v>
      </c>
      <c r="AH74" s="84"/>
      <c r="AI74" s="84"/>
      <c r="AJ74" s="84"/>
      <c r="AK74" s="84"/>
      <c r="AL74" s="84">
        <v>0</v>
      </c>
      <c r="AM74" s="84">
        <v>538585.83700000006</v>
      </c>
      <c r="AN74" s="84"/>
      <c r="AO74" s="84"/>
      <c r="AP74" s="84"/>
      <c r="AQ74" s="84">
        <v>50692</v>
      </c>
      <c r="AR74" s="84">
        <v>187742</v>
      </c>
      <c r="AS74" s="84">
        <v>222340</v>
      </c>
      <c r="AT74" s="84"/>
      <c r="AU74" s="84"/>
      <c r="AV74" s="84"/>
      <c r="AW74" s="84">
        <v>-26732</v>
      </c>
      <c r="AX74" s="84">
        <v>54177</v>
      </c>
      <c r="AY74" s="84">
        <v>41301</v>
      </c>
      <c r="AZ74" s="84">
        <v>5833</v>
      </c>
      <c r="BA74" s="84">
        <v>5975</v>
      </c>
      <c r="BB74" s="84"/>
      <c r="BC74" s="84"/>
      <c r="BD74" s="84">
        <v>2406469</v>
      </c>
      <c r="BE74" s="84">
        <v>2471050</v>
      </c>
      <c r="BF74" s="84">
        <v>6852864</v>
      </c>
      <c r="BG74" s="84">
        <v>6101689</v>
      </c>
      <c r="BH74" s="84">
        <v>0</v>
      </c>
      <c r="BI74" s="84">
        <v>1398468</v>
      </c>
      <c r="BJ74" s="84">
        <v>2229391</v>
      </c>
      <c r="BK74" s="84">
        <v>2278130</v>
      </c>
      <c r="BL74" s="84"/>
      <c r="BM74" s="84">
        <v>2781</v>
      </c>
      <c r="BN74" s="73">
        <f t="shared" si="12"/>
        <v>12439043</v>
      </c>
      <c r="BO74" s="73">
        <f t="shared" si="13"/>
        <v>14160134.837000001</v>
      </c>
    </row>
    <row r="75" spans="1:67" x14ac:dyDescent="0.25">
      <c r="A75" s="21" t="s">
        <v>281</v>
      </c>
      <c r="B75" s="84"/>
      <c r="C75" s="84"/>
      <c r="D75" s="84"/>
      <c r="E75" s="84"/>
      <c r="F75" s="84"/>
      <c r="G75" s="84"/>
      <c r="H75" s="84">
        <v>114278</v>
      </c>
      <c r="I75" s="84">
        <v>223078</v>
      </c>
      <c r="J75" s="84"/>
      <c r="K75" s="84"/>
      <c r="L75" s="84">
        <v>18801</v>
      </c>
      <c r="M75" s="84">
        <v>25785</v>
      </c>
      <c r="N75" s="84"/>
      <c r="O75" s="84"/>
      <c r="P75" s="84"/>
      <c r="Q75" s="84">
        <v>-992</v>
      </c>
      <c r="R75" s="84"/>
      <c r="S75" s="84"/>
      <c r="T75" s="84"/>
      <c r="U75" s="84"/>
      <c r="V75" s="84">
        <v>1510</v>
      </c>
      <c r="W75" s="84">
        <v>9068</v>
      </c>
      <c r="X75" s="84">
        <v>74777</v>
      </c>
      <c r="Y75" s="84">
        <v>209233</v>
      </c>
      <c r="Z75" s="84">
        <v>29012</v>
      </c>
      <c r="AA75" s="84">
        <v>106669</v>
      </c>
      <c r="AB75" s="84"/>
      <c r="AC75" s="84"/>
      <c r="AD75" s="84">
        <v>36937</v>
      </c>
      <c r="AE75" s="84">
        <v>50252</v>
      </c>
      <c r="AF75" s="84">
        <v>65</v>
      </c>
      <c r="AG75" s="84">
        <v>4112</v>
      </c>
      <c r="AH75" s="84"/>
      <c r="AI75" s="84"/>
      <c r="AJ75" s="84"/>
      <c r="AK75" s="84"/>
      <c r="AL75" s="84"/>
      <c r="AM75" s="84"/>
      <c r="AN75" s="84"/>
      <c r="AO75" s="84"/>
      <c r="AP75" s="84">
        <v>3676</v>
      </c>
      <c r="AQ75" s="84">
        <v>9734</v>
      </c>
      <c r="AR75" s="84"/>
      <c r="AS75" s="84"/>
      <c r="AT75" s="84"/>
      <c r="AU75" s="84"/>
      <c r="AV75" s="84">
        <v>4182</v>
      </c>
      <c r="AW75" s="84">
        <v>7004</v>
      </c>
      <c r="AX75" s="84"/>
      <c r="AY75" s="84"/>
      <c r="AZ75" s="84"/>
      <c r="BA75" s="84"/>
      <c r="BB75" s="84"/>
      <c r="BC75" s="84"/>
      <c r="BD75" s="84">
        <v>423433</v>
      </c>
      <c r="BE75" s="84">
        <v>1321048</v>
      </c>
      <c r="BF75" s="84">
        <v>549950</v>
      </c>
      <c r="BG75" s="84">
        <v>2125394</v>
      </c>
      <c r="BH75" s="84">
        <v>72696</v>
      </c>
      <c r="BI75" s="84">
        <v>127474</v>
      </c>
      <c r="BJ75" s="84">
        <v>517481</v>
      </c>
      <c r="BK75" s="84">
        <v>536410</v>
      </c>
      <c r="BL75" s="84">
        <v>5964</v>
      </c>
      <c r="BM75" s="84">
        <v>6078</v>
      </c>
      <c r="BN75" s="73">
        <f t="shared" si="12"/>
        <v>1852762</v>
      </c>
      <c r="BO75" s="73">
        <f t="shared" si="13"/>
        <v>4760347</v>
      </c>
    </row>
    <row r="76" spans="1:67" x14ac:dyDescent="0.25">
      <c r="A76" s="21" t="s">
        <v>276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>
        <v>0</v>
      </c>
      <c r="AM76" s="84">
        <v>0</v>
      </c>
      <c r="AN76" s="84"/>
      <c r="AO76" s="84"/>
      <c r="AP76" s="84">
        <v>34</v>
      </c>
      <c r="AQ76" s="84">
        <v>432</v>
      </c>
      <c r="AR76" s="84"/>
      <c r="AS76" s="84"/>
      <c r="AT76" s="84"/>
      <c r="AU76" s="84"/>
      <c r="AV76" s="84"/>
      <c r="AW76" s="84"/>
      <c r="AX76" s="84"/>
      <c r="AY76" s="84">
        <v>405</v>
      </c>
      <c r="AZ76" s="84"/>
      <c r="BA76" s="84"/>
      <c r="BB76" s="84"/>
      <c r="BC76" s="84"/>
      <c r="BD76" s="84">
        <v>12883</v>
      </c>
      <c r="BE76" s="84">
        <v>340611</v>
      </c>
      <c r="BF76" s="84">
        <v>238</v>
      </c>
      <c r="BG76" s="84">
        <v>238</v>
      </c>
      <c r="BH76" s="84">
        <v>-3038</v>
      </c>
      <c r="BI76" s="84">
        <v>48575</v>
      </c>
      <c r="BJ76" s="84">
        <v>-60</v>
      </c>
      <c r="BK76" s="84">
        <v>61502</v>
      </c>
      <c r="BL76" s="84"/>
      <c r="BM76" s="84"/>
      <c r="BN76" s="73">
        <f t="shared" si="12"/>
        <v>10057</v>
      </c>
      <c r="BO76" s="73">
        <f t="shared" si="13"/>
        <v>451763</v>
      </c>
    </row>
    <row r="77" spans="1:67" x14ac:dyDescent="0.25">
      <c r="A77" s="21" t="s">
        <v>277</v>
      </c>
      <c r="B77" s="84">
        <v>50513</v>
      </c>
      <c r="C77" s="84">
        <v>145542</v>
      </c>
      <c r="D77" s="84"/>
      <c r="E77" s="84"/>
      <c r="F77" s="84"/>
      <c r="G77" s="84"/>
      <c r="H77" s="84">
        <v>95671</v>
      </c>
      <c r="I77" s="84">
        <v>184056</v>
      </c>
      <c r="J77" s="84">
        <v>760</v>
      </c>
      <c r="K77" s="84">
        <v>1137</v>
      </c>
      <c r="L77" s="84">
        <v>16257</v>
      </c>
      <c r="M77" s="84">
        <v>18189</v>
      </c>
      <c r="N77" s="84"/>
      <c r="O77" s="84"/>
      <c r="P77" s="84"/>
      <c r="Q77" s="84">
        <v>-992</v>
      </c>
      <c r="R77" s="84">
        <v>-1237</v>
      </c>
      <c r="S77" s="84">
        <v>335</v>
      </c>
      <c r="T77" s="84"/>
      <c r="U77" s="84"/>
      <c r="V77" s="84">
        <f>-167-6366+7046</f>
        <v>513</v>
      </c>
      <c r="W77" s="84">
        <f>-185-6366+560</f>
        <v>-5991</v>
      </c>
      <c r="X77" s="84">
        <v>22886</v>
      </c>
      <c r="Y77" s="84">
        <v>58438</v>
      </c>
      <c r="Z77" s="84">
        <v>1069</v>
      </c>
      <c r="AA77" s="84">
        <v>3228</v>
      </c>
      <c r="AB77" s="84"/>
      <c r="AC77" s="84"/>
      <c r="AD77" s="84">
        <v>104</v>
      </c>
      <c r="AE77" s="84">
        <v>116</v>
      </c>
      <c r="AF77" s="84"/>
      <c r="AG77" s="84"/>
      <c r="AH77" s="84"/>
      <c r="AI77" s="84"/>
      <c r="AJ77" s="84"/>
      <c r="AK77" s="84"/>
      <c r="AL77" s="84">
        <v>598.72270000000003</v>
      </c>
      <c r="AM77" s="84">
        <v>1275.0020500000001</v>
      </c>
      <c r="AN77" s="84"/>
      <c r="AO77" s="84"/>
      <c r="AP77" s="84">
        <v>7</v>
      </c>
      <c r="AQ77" s="84">
        <v>116</v>
      </c>
      <c r="AR77" s="84">
        <v>79</v>
      </c>
      <c r="AS77" s="84">
        <v>1116</v>
      </c>
      <c r="AT77" s="84"/>
      <c r="AU77" s="84"/>
      <c r="AV77" s="84">
        <v>-34</v>
      </c>
      <c r="AW77" s="84">
        <v>-109</v>
      </c>
      <c r="AX77" s="84">
        <v>509</v>
      </c>
      <c r="AY77" s="84">
        <v>3090</v>
      </c>
      <c r="AZ77" s="84"/>
      <c r="BA77" s="84"/>
      <c r="BB77" s="84"/>
      <c r="BC77" s="84"/>
      <c r="BD77" s="84">
        <v>404743</v>
      </c>
      <c r="BE77" s="84">
        <v>1431397</v>
      </c>
      <c r="BF77" s="84">
        <v>40860</v>
      </c>
      <c r="BG77" s="84">
        <v>103730</v>
      </c>
      <c r="BH77" s="84">
        <v>19355</v>
      </c>
      <c r="BI77" s="84">
        <v>39711</v>
      </c>
      <c r="BJ77" s="84">
        <v>19835</v>
      </c>
      <c r="BK77" s="84">
        <v>17764</v>
      </c>
      <c r="BL77" s="84"/>
      <c r="BM77" s="84"/>
      <c r="BN77" s="73">
        <f t="shared" si="12"/>
        <v>672488.72270000004</v>
      </c>
      <c r="BO77" s="73">
        <f t="shared" si="13"/>
        <v>2002148.00205</v>
      </c>
    </row>
    <row r="78" spans="1:67" x14ac:dyDescent="0.25">
      <c r="A78" s="21" t="s">
        <v>273</v>
      </c>
      <c r="B78" s="84">
        <v>29902</v>
      </c>
      <c r="C78" s="84">
        <v>95905</v>
      </c>
      <c r="D78" s="84"/>
      <c r="E78" s="84"/>
      <c r="F78" s="84"/>
      <c r="G78" s="84"/>
      <c r="H78" s="84">
        <v>18607</v>
      </c>
      <c r="I78" s="84">
        <v>39022</v>
      </c>
      <c r="J78" s="84">
        <v>29308</v>
      </c>
      <c r="K78" s="84">
        <v>72743</v>
      </c>
      <c r="L78" s="84">
        <v>2544</v>
      </c>
      <c r="M78" s="84">
        <v>7596</v>
      </c>
      <c r="N78" s="84"/>
      <c r="O78" s="84"/>
      <c r="P78" s="84"/>
      <c r="Q78" s="84"/>
      <c r="R78" s="84">
        <v>12639</v>
      </c>
      <c r="S78" s="84">
        <v>19000</v>
      </c>
      <c r="T78" s="84"/>
      <c r="U78" s="84"/>
      <c r="V78" s="84">
        <v>2024</v>
      </c>
      <c r="W78" s="84">
        <v>3077</v>
      </c>
      <c r="X78" s="84">
        <v>24813</v>
      </c>
      <c r="Y78" s="84">
        <v>68357</v>
      </c>
      <c r="Z78" s="84">
        <v>27943</v>
      </c>
      <c r="AA78" s="84">
        <v>103441</v>
      </c>
      <c r="AB78" s="84"/>
      <c r="AC78" s="84"/>
      <c r="AD78" s="84">
        <v>39583</v>
      </c>
      <c r="AE78" s="84">
        <v>52237</v>
      </c>
      <c r="AF78" s="84">
        <v>30</v>
      </c>
      <c r="AG78" s="84">
        <v>1435</v>
      </c>
      <c r="AH78" s="84"/>
      <c r="AI78" s="84"/>
      <c r="AJ78" s="84"/>
      <c r="AK78" s="84"/>
      <c r="AL78" s="84">
        <v>38433.004705521991</v>
      </c>
      <c r="AM78" s="84">
        <v>283123.68786255654</v>
      </c>
      <c r="AN78" s="84"/>
      <c r="AO78" s="84"/>
      <c r="AP78" s="84">
        <v>3703</v>
      </c>
      <c r="AQ78" s="84">
        <v>10050</v>
      </c>
      <c r="AR78" s="84">
        <v>3548</v>
      </c>
      <c r="AS78" s="84">
        <v>-12342</v>
      </c>
      <c r="AT78" s="84"/>
      <c r="AU78" s="84"/>
      <c r="AV78" s="84">
        <v>2439</v>
      </c>
      <c r="AW78" s="84">
        <v>5083</v>
      </c>
      <c r="AX78" s="84">
        <v>3843</v>
      </c>
      <c r="AY78" s="84">
        <v>17345</v>
      </c>
      <c r="AZ78" s="84">
        <v>-64</v>
      </c>
      <c r="BA78" s="84">
        <v>-206</v>
      </c>
      <c r="BB78" s="84"/>
      <c r="BC78" s="84"/>
      <c r="BD78" s="84">
        <v>31573</v>
      </c>
      <c r="BE78" s="84">
        <v>230262</v>
      </c>
      <c r="BF78" s="84">
        <v>243125</v>
      </c>
      <c r="BG78" s="84">
        <v>1492209</v>
      </c>
      <c r="BH78" s="84">
        <v>50303</v>
      </c>
      <c r="BI78" s="84">
        <v>136338</v>
      </c>
      <c r="BJ78" s="84">
        <v>497586</v>
      </c>
      <c r="BK78" s="84">
        <v>580148</v>
      </c>
      <c r="BL78" s="84">
        <v>5964</v>
      </c>
      <c r="BM78" s="84">
        <v>6078</v>
      </c>
      <c r="BN78" s="73">
        <f t="shared" si="12"/>
        <v>1067846.004705522</v>
      </c>
      <c r="BO78" s="73">
        <f t="shared" si="13"/>
        <v>3210901.6878625564</v>
      </c>
    </row>
    <row r="79" spans="1:67" x14ac:dyDescent="0.25">
      <c r="A79" s="29"/>
    </row>
    <row r="80" spans="1:67" x14ac:dyDescent="0.25">
      <c r="A80" s="30" t="s">
        <v>223</v>
      </c>
    </row>
    <row r="81" spans="1:67" x14ac:dyDescent="0.25">
      <c r="A81" s="3" t="s">
        <v>0</v>
      </c>
      <c r="B81" s="103" t="s">
        <v>1</v>
      </c>
      <c r="C81" s="104"/>
      <c r="D81" s="103" t="s">
        <v>282</v>
      </c>
      <c r="E81" s="104"/>
      <c r="F81" s="103" t="s">
        <v>2</v>
      </c>
      <c r="G81" s="104"/>
      <c r="H81" s="103" t="s">
        <v>3</v>
      </c>
      <c r="I81" s="104"/>
      <c r="J81" s="103" t="s">
        <v>4</v>
      </c>
      <c r="K81" s="104"/>
      <c r="L81" s="103" t="s">
        <v>283</v>
      </c>
      <c r="M81" s="104"/>
      <c r="N81" s="103" t="s">
        <v>6</v>
      </c>
      <c r="O81" s="104"/>
      <c r="P81" s="103" t="s">
        <v>5</v>
      </c>
      <c r="Q81" s="104"/>
      <c r="R81" s="103" t="s">
        <v>7</v>
      </c>
      <c r="S81" s="104"/>
      <c r="T81" s="103" t="s">
        <v>284</v>
      </c>
      <c r="U81" s="104"/>
      <c r="V81" s="103" t="s">
        <v>8</v>
      </c>
      <c r="W81" s="104"/>
      <c r="X81" s="103" t="s">
        <v>9</v>
      </c>
      <c r="Y81" s="104"/>
      <c r="Z81" s="103" t="s">
        <v>10</v>
      </c>
      <c r="AA81" s="104"/>
      <c r="AB81" s="103" t="s">
        <v>304</v>
      </c>
      <c r="AC81" s="104"/>
      <c r="AD81" s="103" t="s">
        <v>11</v>
      </c>
      <c r="AE81" s="104"/>
      <c r="AF81" s="103" t="s">
        <v>12</v>
      </c>
      <c r="AG81" s="104"/>
      <c r="AH81" s="103" t="s">
        <v>285</v>
      </c>
      <c r="AI81" s="104"/>
      <c r="AJ81" s="103" t="s">
        <v>290</v>
      </c>
      <c r="AK81" s="104"/>
      <c r="AL81" s="103" t="s">
        <v>13</v>
      </c>
      <c r="AM81" s="104"/>
      <c r="AN81" s="103" t="s">
        <v>286</v>
      </c>
      <c r="AO81" s="104"/>
      <c r="AP81" s="103" t="s">
        <v>287</v>
      </c>
      <c r="AQ81" s="104"/>
      <c r="AR81" s="103" t="s">
        <v>291</v>
      </c>
      <c r="AS81" s="104"/>
      <c r="AT81" s="103" t="s">
        <v>305</v>
      </c>
      <c r="AU81" s="104"/>
      <c r="AV81" s="103" t="s">
        <v>14</v>
      </c>
      <c r="AW81" s="104"/>
      <c r="AX81" s="103" t="s">
        <v>15</v>
      </c>
      <c r="AY81" s="104"/>
      <c r="AZ81" s="103" t="s">
        <v>16</v>
      </c>
      <c r="BA81" s="104"/>
      <c r="BB81" s="103" t="s">
        <v>17</v>
      </c>
      <c r="BC81" s="104"/>
      <c r="BD81" s="103" t="s">
        <v>18</v>
      </c>
      <c r="BE81" s="104"/>
      <c r="BF81" s="103" t="s">
        <v>288</v>
      </c>
      <c r="BG81" s="104"/>
      <c r="BH81" s="103" t="s">
        <v>289</v>
      </c>
      <c r="BI81" s="104"/>
      <c r="BJ81" s="103" t="s">
        <v>19</v>
      </c>
      <c r="BK81" s="104"/>
      <c r="BL81" s="103" t="s">
        <v>20</v>
      </c>
      <c r="BM81" s="104"/>
      <c r="BN81" s="105" t="s">
        <v>21</v>
      </c>
      <c r="BO81" s="106"/>
    </row>
    <row r="82" spans="1:67" ht="30" x14ac:dyDescent="0.25">
      <c r="A82" s="3"/>
      <c r="B82" s="57" t="s">
        <v>293</v>
      </c>
      <c r="C82" s="58" t="s">
        <v>294</v>
      </c>
      <c r="D82" s="57" t="s">
        <v>293</v>
      </c>
      <c r="E82" s="58" t="s">
        <v>294</v>
      </c>
      <c r="F82" s="57" t="s">
        <v>293</v>
      </c>
      <c r="G82" s="58" t="s">
        <v>294</v>
      </c>
      <c r="H82" s="57" t="s">
        <v>293</v>
      </c>
      <c r="I82" s="58" t="s">
        <v>294</v>
      </c>
      <c r="J82" s="57" t="s">
        <v>293</v>
      </c>
      <c r="K82" s="58" t="s">
        <v>294</v>
      </c>
      <c r="L82" s="57" t="s">
        <v>293</v>
      </c>
      <c r="M82" s="58" t="s">
        <v>294</v>
      </c>
      <c r="N82" s="57" t="s">
        <v>293</v>
      </c>
      <c r="O82" s="58" t="s">
        <v>294</v>
      </c>
      <c r="P82" s="57" t="s">
        <v>293</v>
      </c>
      <c r="Q82" s="58" t="s">
        <v>294</v>
      </c>
      <c r="R82" s="57" t="s">
        <v>293</v>
      </c>
      <c r="S82" s="58" t="s">
        <v>294</v>
      </c>
      <c r="T82" s="57" t="s">
        <v>293</v>
      </c>
      <c r="U82" s="58" t="s">
        <v>294</v>
      </c>
      <c r="V82" s="57" t="s">
        <v>293</v>
      </c>
      <c r="W82" s="58" t="s">
        <v>294</v>
      </c>
      <c r="X82" s="57" t="s">
        <v>293</v>
      </c>
      <c r="Y82" s="58" t="s">
        <v>294</v>
      </c>
      <c r="Z82" s="57" t="s">
        <v>293</v>
      </c>
      <c r="AA82" s="58" t="s">
        <v>294</v>
      </c>
      <c r="AB82" s="57" t="s">
        <v>293</v>
      </c>
      <c r="AC82" s="58" t="s">
        <v>294</v>
      </c>
      <c r="AD82" s="57" t="s">
        <v>293</v>
      </c>
      <c r="AE82" s="58" t="s">
        <v>294</v>
      </c>
      <c r="AF82" s="57" t="s">
        <v>293</v>
      </c>
      <c r="AG82" s="58" t="s">
        <v>294</v>
      </c>
      <c r="AH82" s="57" t="s">
        <v>293</v>
      </c>
      <c r="AI82" s="58" t="s">
        <v>294</v>
      </c>
      <c r="AJ82" s="57" t="s">
        <v>293</v>
      </c>
      <c r="AK82" s="58" t="s">
        <v>294</v>
      </c>
      <c r="AL82" s="57" t="s">
        <v>293</v>
      </c>
      <c r="AM82" s="58" t="s">
        <v>294</v>
      </c>
      <c r="AN82" s="57" t="s">
        <v>293</v>
      </c>
      <c r="AO82" s="58" t="s">
        <v>294</v>
      </c>
      <c r="AP82" s="57" t="s">
        <v>293</v>
      </c>
      <c r="AQ82" s="58" t="s">
        <v>294</v>
      </c>
      <c r="AR82" s="57" t="s">
        <v>293</v>
      </c>
      <c r="AS82" s="58" t="s">
        <v>294</v>
      </c>
      <c r="AT82" s="57" t="s">
        <v>293</v>
      </c>
      <c r="AU82" s="58" t="s">
        <v>294</v>
      </c>
      <c r="AV82" s="57" t="s">
        <v>293</v>
      </c>
      <c r="AW82" s="58" t="s">
        <v>294</v>
      </c>
      <c r="AX82" s="57" t="s">
        <v>293</v>
      </c>
      <c r="AY82" s="58" t="s">
        <v>294</v>
      </c>
      <c r="AZ82" s="57" t="s">
        <v>293</v>
      </c>
      <c r="BA82" s="58" t="s">
        <v>294</v>
      </c>
      <c r="BB82" s="57" t="s">
        <v>293</v>
      </c>
      <c r="BC82" s="58" t="s">
        <v>294</v>
      </c>
      <c r="BD82" s="57" t="s">
        <v>293</v>
      </c>
      <c r="BE82" s="58" t="s">
        <v>294</v>
      </c>
      <c r="BF82" s="57" t="s">
        <v>293</v>
      </c>
      <c r="BG82" s="58" t="s">
        <v>294</v>
      </c>
      <c r="BH82" s="57" t="s">
        <v>293</v>
      </c>
      <c r="BI82" s="58" t="s">
        <v>294</v>
      </c>
      <c r="BJ82" s="57" t="s">
        <v>293</v>
      </c>
      <c r="BK82" s="58" t="s">
        <v>294</v>
      </c>
      <c r="BL82" s="57" t="s">
        <v>293</v>
      </c>
      <c r="BM82" s="58" t="s">
        <v>294</v>
      </c>
      <c r="BN82" s="57" t="s">
        <v>293</v>
      </c>
      <c r="BO82" s="58" t="s">
        <v>294</v>
      </c>
    </row>
    <row r="83" spans="1:67" x14ac:dyDescent="0.25">
      <c r="A83" s="21" t="s">
        <v>228</v>
      </c>
      <c r="B83" s="84"/>
      <c r="C83" s="84"/>
      <c r="D83" s="84"/>
      <c r="E83" s="84"/>
      <c r="F83" s="84"/>
      <c r="G83" s="84"/>
      <c r="H83" s="84">
        <v>38621</v>
      </c>
      <c r="I83" s="84">
        <v>187803</v>
      </c>
      <c r="J83" s="84"/>
      <c r="K83" s="84"/>
      <c r="L83" s="84"/>
      <c r="M83" s="84"/>
      <c r="N83" s="84"/>
      <c r="O83" s="84"/>
      <c r="P83" s="84"/>
      <c r="Q83" s="84"/>
      <c r="R83" s="84">
        <v>4035</v>
      </c>
      <c r="S83" s="84">
        <v>4053</v>
      </c>
      <c r="T83" s="84"/>
      <c r="U83" s="84"/>
      <c r="V83" s="84">
        <v>1834</v>
      </c>
      <c r="W83" s="84">
        <v>51266</v>
      </c>
      <c r="X83" s="84">
        <v>26234</v>
      </c>
      <c r="Y83" s="84">
        <v>128349</v>
      </c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>
        <v>211637.22500000003</v>
      </c>
      <c r="AM83" s="84">
        <v>463764.35600000003</v>
      </c>
      <c r="AN83" s="84"/>
      <c r="AO83" s="84"/>
      <c r="AP83" s="84"/>
      <c r="AQ83" s="84"/>
      <c r="AR83" s="84">
        <v>147121</v>
      </c>
      <c r="AS83" s="84">
        <v>183354</v>
      </c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>
        <v>2062030</v>
      </c>
      <c r="BG83" s="84">
        <v>2538778</v>
      </c>
      <c r="BH83" s="84">
        <v>954660</v>
      </c>
      <c r="BI83" s="84">
        <v>1000900</v>
      </c>
      <c r="BJ83" s="84">
        <v>925508</v>
      </c>
      <c r="BK83" s="84">
        <v>1131285</v>
      </c>
      <c r="BL83" s="84"/>
      <c r="BM83" s="84"/>
      <c r="BN83" s="73">
        <f t="shared" ref="BN83:BN89" si="14">SUM(B83+D83+F83+H83+J83+L83+N83+P83+R83+T83+V83+X83+Z83+AB83+AD83+AF83+AH83+AJ83+AL83+AN83+AP83+AR83+AT83+AV83+AX83+AZ83+BB83+BD83+BF83+BH83+BJ83+BL83)</f>
        <v>4371680.2249999996</v>
      </c>
      <c r="BO83" s="73">
        <f t="shared" ref="BO83:BO89" si="15">SUM(C83+E83+G83+I83+K83+M83+O83+Q83+S83+U83+W83+Y83+AA83+AC83+AE83+AG83+AI83+AK83+AM83+AO83+AQ83+AS83+AU83+AW83+AY83+BA83+BC83+BE83+BG83+BI83+BK83+BM83)</f>
        <v>5689552.3560000006</v>
      </c>
    </row>
    <row r="84" spans="1:67" x14ac:dyDescent="0.25">
      <c r="A84" s="21" t="s">
        <v>279</v>
      </c>
      <c r="B84" s="84"/>
      <c r="C84" s="84"/>
      <c r="D84" s="84"/>
      <c r="E84" s="84"/>
      <c r="F84" s="84"/>
      <c r="G84" s="84"/>
      <c r="H84" s="84">
        <v>18201</v>
      </c>
      <c r="I84" s="84">
        <v>166831</v>
      </c>
      <c r="J84" s="84"/>
      <c r="K84" s="84"/>
      <c r="L84" s="84"/>
      <c r="M84" s="84"/>
      <c r="N84" s="84"/>
      <c r="O84" s="84"/>
      <c r="P84" s="84"/>
      <c r="Q84" s="84"/>
      <c r="R84" s="84">
        <v>13394</v>
      </c>
      <c r="S84" s="84">
        <v>13394</v>
      </c>
      <c r="T84" s="84"/>
      <c r="U84" s="84"/>
      <c r="V84" s="84">
        <v>739310</v>
      </c>
      <c r="W84" s="84">
        <v>739310</v>
      </c>
      <c r="X84" s="84">
        <v>1729616</v>
      </c>
      <c r="Y84" s="84">
        <v>1729616</v>
      </c>
      <c r="Z84" s="84">
        <v>-629</v>
      </c>
      <c r="AA84" s="84">
        <v>170</v>
      </c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>
        <v>-143623.47982465685</v>
      </c>
      <c r="AM84" s="84">
        <v>1229616.797590415</v>
      </c>
      <c r="AN84" s="84"/>
      <c r="AO84" s="84"/>
      <c r="AP84" s="84"/>
      <c r="AQ84" s="84"/>
      <c r="AR84" s="84">
        <v>43550</v>
      </c>
      <c r="AS84" s="84">
        <v>43550</v>
      </c>
      <c r="AT84" s="84"/>
      <c r="AU84" s="84"/>
      <c r="AV84" s="84"/>
      <c r="AW84" s="84"/>
      <c r="AX84" s="84">
        <v>162</v>
      </c>
      <c r="AY84" s="84">
        <v>162</v>
      </c>
      <c r="AZ84" s="84"/>
      <c r="BA84" s="84"/>
      <c r="BB84" s="84"/>
      <c r="BC84" s="84"/>
      <c r="BD84" s="84">
        <v>2367</v>
      </c>
      <c r="BE84" s="84">
        <v>2367</v>
      </c>
      <c r="BF84" s="84">
        <v>3234353</v>
      </c>
      <c r="BG84" s="84">
        <v>3234353</v>
      </c>
      <c r="BH84" s="84">
        <v>-412602</v>
      </c>
      <c r="BI84" s="84">
        <v>1684154</v>
      </c>
      <c r="BJ84" s="84">
        <v>1110556</v>
      </c>
      <c r="BK84" s="84">
        <v>1110556</v>
      </c>
      <c r="BL84" s="84"/>
      <c r="BM84" s="84"/>
      <c r="BN84" s="73">
        <f t="shared" si="14"/>
        <v>6334654.5201753434</v>
      </c>
      <c r="BO84" s="73">
        <f t="shared" si="15"/>
        <v>9954079.7975904159</v>
      </c>
    </row>
    <row r="85" spans="1:67" x14ac:dyDescent="0.25">
      <c r="A85" s="21" t="s">
        <v>278</v>
      </c>
      <c r="B85" s="84"/>
      <c r="C85" s="84"/>
      <c r="D85" s="84"/>
      <c r="E85" s="84"/>
      <c r="F85" s="84"/>
      <c r="G85" s="84"/>
      <c r="H85" s="84"/>
      <c r="I85" s="84">
        <v>120483</v>
      </c>
      <c r="J85" s="84"/>
      <c r="K85" s="84"/>
      <c r="L85" s="84"/>
      <c r="M85" s="84"/>
      <c r="N85" s="84"/>
      <c r="O85" s="84"/>
      <c r="P85" s="84"/>
      <c r="Q85" s="84"/>
      <c r="R85" s="84">
        <v>13715</v>
      </c>
      <c r="S85" s="84">
        <v>5044</v>
      </c>
      <c r="T85" s="84"/>
      <c r="U85" s="84"/>
      <c r="V85" s="84">
        <v>-761488</v>
      </c>
      <c r="W85" s="84">
        <v>-595965</v>
      </c>
      <c r="X85" s="84">
        <v>1740091</v>
      </c>
      <c r="Y85" s="84">
        <v>1737914</v>
      </c>
      <c r="Z85" s="84"/>
      <c r="AA85" s="84">
        <v>799</v>
      </c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>
        <v>0</v>
      </c>
      <c r="AM85" s="84">
        <v>1174949.0079999999</v>
      </c>
      <c r="AN85" s="84"/>
      <c r="AO85" s="84"/>
      <c r="AP85" s="84"/>
      <c r="AQ85" s="84"/>
      <c r="AR85" s="84">
        <v>32343</v>
      </c>
      <c r="AS85" s="84">
        <v>8918</v>
      </c>
      <c r="AT85" s="84"/>
      <c r="AU85" s="84"/>
      <c r="AV85" s="84"/>
      <c r="AW85" s="84"/>
      <c r="AX85" s="84">
        <v>161</v>
      </c>
      <c r="AY85" s="84">
        <v>155</v>
      </c>
      <c r="AZ85" s="84"/>
      <c r="BA85" s="84"/>
      <c r="BB85" s="84"/>
      <c r="BC85" s="84"/>
      <c r="BD85" s="84">
        <v>2367</v>
      </c>
      <c r="BE85" s="84">
        <v>2367</v>
      </c>
      <c r="BF85" s="84">
        <v>5224973</v>
      </c>
      <c r="BG85" s="84">
        <v>2487471</v>
      </c>
      <c r="BH85" s="84">
        <v>0</v>
      </c>
      <c r="BI85" s="84">
        <v>980789</v>
      </c>
      <c r="BJ85" s="84">
        <v>2186433</v>
      </c>
      <c r="BK85" s="84">
        <v>821158</v>
      </c>
      <c r="BL85" s="84"/>
      <c r="BM85" s="84"/>
      <c r="BN85" s="73">
        <f t="shared" si="14"/>
        <v>8438595</v>
      </c>
      <c r="BO85" s="73">
        <f t="shared" si="15"/>
        <v>6744082.0079999994</v>
      </c>
    </row>
    <row r="86" spans="1:67" x14ac:dyDescent="0.25">
      <c r="A86" s="21" t="s">
        <v>281</v>
      </c>
      <c r="B86" s="84"/>
      <c r="C86" s="84"/>
      <c r="D86" s="84"/>
      <c r="E86" s="84"/>
      <c r="F86" s="84"/>
      <c r="G86" s="84"/>
      <c r="H86" s="84">
        <v>56822</v>
      </c>
      <c r="I86" s="84">
        <v>234151</v>
      </c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>
        <v>-20344</v>
      </c>
      <c r="W86" s="84">
        <v>194611</v>
      </c>
      <c r="X86" s="84">
        <v>15759</v>
      </c>
      <c r="Y86" s="84">
        <v>120051</v>
      </c>
      <c r="Z86" s="84">
        <v>-629</v>
      </c>
      <c r="AA86" s="84">
        <v>-629</v>
      </c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>
        <v>71411</v>
      </c>
      <c r="BG86" s="84">
        <v>3285660</v>
      </c>
      <c r="BH86" s="84">
        <v>542058</v>
      </c>
      <c r="BI86" s="84">
        <v>1704265</v>
      </c>
      <c r="BJ86" s="84">
        <v>-150369</v>
      </c>
      <c r="BK86" s="84">
        <v>1420683</v>
      </c>
      <c r="BL86" s="84"/>
      <c r="BM86" s="84"/>
      <c r="BN86" s="73">
        <f t="shared" si="14"/>
        <v>514708</v>
      </c>
      <c r="BO86" s="73">
        <f t="shared" si="15"/>
        <v>6958792</v>
      </c>
    </row>
    <row r="87" spans="1:67" x14ac:dyDescent="0.25">
      <c r="A87" s="21" t="s">
        <v>276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>
        <v>1691</v>
      </c>
      <c r="W87" s="84">
        <v>14169</v>
      </c>
      <c r="X87" s="84">
        <v>52898</v>
      </c>
      <c r="Y87" s="84">
        <v>182094</v>
      </c>
      <c r="Z87" s="84"/>
      <c r="AA87" s="84">
        <v>728</v>
      </c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>
        <v>36890.834000000003</v>
      </c>
      <c r="AM87" s="84">
        <v>150555.609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>
        <v>119546</v>
      </c>
      <c r="BG87" s="84">
        <v>674731</v>
      </c>
      <c r="BH87" s="84">
        <v>242023</v>
      </c>
      <c r="BI87" s="84">
        <v>803730</v>
      </c>
      <c r="BJ87" s="84">
        <v>149704</v>
      </c>
      <c r="BK87" s="84">
        <v>189542</v>
      </c>
      <c r="BL87" s="84"/>
      <c r="BM87" s="84"/>
      <c r="BN87" s="73">
        <f t="shared" si="14"/>
        <v>602752.83400000003</v>
      </c>
      <c r="BO87" s="73">
        <f t="shared" si="15"/>
        <v>2015549.6089999999</v>
      </c>
    </row>
    <row r="88" spans="1:67" x14ac:dyDescent="0.25">
      <c r="A88" s="21" t="s">
        <v>277</v>
      </c>
      <c r="B88" s="84"/>
      <c r="C88" s="84"/>
      <c r="D88" s="84"/>
      <c r="E88" s="84"/>
      <c r="F88" s="84"/>
      <c r="G88" s="84"/>
      <c r="H88" s="84">
        <v>14397</v>
      </c>
      <c r="I88" s="84">
        <v>87988</v>
      </c>
      <c r="J88" s="84"/>
      <c r="K88" s="84"/>
      <c r="L88" s="84"/>
      <c r="M88" s="84"/>
      <c r="N88" s="84"/>
      <c r="O88" s="84"/>
      <c r="P88" s="84"/>
      <c r="Q88" s="84"/>
      <c r="R88" s="84">
        <v>202</v>
      </c>
      <c r="S88" s="84">
        <v>203</v>
      </c>
      <c r="T88" s="84"/>
      <c r="U88" s="84"/>
      <c r="V88" s="84">
        <f>-1792-660972+681480</f>
        <v>18716</v>
      </c>
      <c r="W88" s="84">
        <f>-51177-660972+507885</f>
        <v>-204264</v>
      </c>
      <c r="X88" s="84">
        <v>18658</v>
      </c>
      <c r="Y88" s="84">
        <v>55371</v>
      </c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>
        <v>134959.81900000002</v>
      </c>
      <c r="AM88" s="84">
        <v>306702.141</v>
      </c>
      <c r="AN88" s="84"/>
      <c r="AO88" s="84"/>
      <c r="AP88" s="84"/>
      <c r="AQ88" s="84"/>
      <c r="AR88" s="84">
        <v>147072</v>
      </c>
      <c r="AS88" s="84">
        <v>183325</v>
      </c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>
        <v>1614998</v>
      </c>
      <c r="BG88" s="84">
        <v>2037771</v>
      </c>
      <c r="BH88" s="84">
        <v>364092</v>
      </c>
      <c r="BI88" s="84">
        <v>1405820</v>
      </c>
      <c r="BJ88" s="84">
        <v>-133613</v>
      </c>
      <c r="BK88" s="84">
        <v>1257531</v>
      </c>
      <c r="BL88" s="84"/>
      <c r="BM88" s="84"/>
      <c r="BN88" s="73">
        <f t="shared" si="14"/>
        <v>2179481.8190000001</v>
      </c>
      <c r="BO88" s="73">
        <f t="shared" si="15"/>
        <v>5130447.1409999998</v>
      </c>
    </row>
    <row r="89" spans="1:67" x14ac:dyDescent="0.25">
      <c r="A89" s="21" t="s">
        <v>273</v>
      </c>
      <c r="B89" s="84"/>
      <c r="C89" s="84"/>
      <c r="D89" s="84"/>
      <c r="E89" s="84"/>
      <c r="F89" s="84"/>
      <c r="G89" s="84"/>
      <c r="H89" s="84">
        <v>42425</v>
      </c>
      <c r="I89" s="84">
        <v>146163</v>
      </c>
      <c r="J89" s="84"/>
      <c r="K89" s="84"/>
      <c r="L89" s="84"/>
      <c r="M89" s="84"/>
      <c r="N89" s="84"/>
      <c r="O89" s="84"/>
      <c r="P89" s="84"/>
      <c r="Q89" s="84"/>
      <c r="R89" s="84">
        <v>3512</v>
      </c>
      <c r="S89" s="84">
        <v>12200</v>
      </c>
      <c r="T89" s="84"/>
      <c r="U89" s="84"/>
      <c r="V89" s="84">
        <v>62</v>
      </c>
      <c r="W89" s="84">
        <v>4516</v>
      </c>
      <c r="X89" s="84">
        <v>81092</v>
      </c>
      <c r="Y89" s="84">
        <v>219971</v>
      </c>
      <c r="Z89" s="84">
        <v>-629</v>
      </c>
      <c r="AA89" s="84">
        <v>99</v>
      </c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>
        <v>-30055.239824656834</v>
      </c>
      <c r="AM89" s="84">
        <v>362285.6135904151</v>
      </c>
      <c r="AN89" s="84"/>
      <c r="AO89" s="84"/>
      <c r="AP89" s="84"/>
      <c r="AQ89" s="84"/>
      <c r="AR89" s="84">
        <v>11256</v>
      </c>
      <c r="AS89" s="84">
        <v>34661</v>
      </c>
      <c r="AT89" s="84"/>
      <c r="AU89" s="84"/>
      <c r="AV89" s="84"/>
      <c r="AW89" s="84"/>
      <c r="AX89" s="84">
        <v>1</v>
      </c>
      <c r="AY89" s="84">
        <v>7</v>
      </c>
      <c r="AZ89" s="84"/>
      <c r="BA89" s="84"/>
      <c r="BB89" s="84"/>
      <c r="BC89" s="84"/>
      <c r="BD89" s="84"/>
      <c r="BE89" s="84"/>
      <c r="BF89" s="84">
        <v>221654</v>
      </c>
      <c r="BG89" s="84">
        <v>1284418</v>
      </c>
      <c r="BH89" s="84">
        <v>419989</v>
      </c>
      <c r="BI89" s="84">
        <v>1102175</v>
      </c>
      <c r="BJ89" s="84">
        <v>132948</v>
      </c>
      <c r="BK89" s="84">
        <v>352694</v>
      </c>
      <c r="BL89" s="84"/>
      <c r="BM89" s="84"/>
      <c r="BN89" s="73">
        <f t="shared" si="14"/>
        <v>882254.76017534314</v>
      </c>
      <c r="BO89" s="73">
        <f t="shared" si="15"/>
        <v>3519189.6135904151</v>
      </c>
    </row>
    <row r="90" spans="1:67" x14ac:dyDescent="0.25">
      <c r="A90" s="13"/>
    </row>
    <row r="91" spans="1:67" x14ac:dyDescent="0.25">
      <c r="A91" s="28" t="s">
        <v>224</v>
      </c>
    </row>
    <row r="92" spans="1:67" x14ac:dyDescent="0.25">
      <c r="A92" s="3" t="s">
        <v>0</v>
      </c>
      <c r="B92" s="103" t="s">
        <v>1</v>
      </c>
      <c r="C92" s="104"/>
      <c r="D92" s="103" t="s">
        <v>282</v>
      </c>
      <c r="E92" s="104"/>
      <c r="F92" s="103" t="s">
        <v>2</v>
      </c>
      <c r="G92" s="104"/>
      <c r="H92" s="103" t="s">
        <v>3</v>
      </c>
      <c r="I92" s="104"/>
      <c r="J92" s="103" t="s">
        <v>4</v>
      </c>
      <c r="K92" s="104"/>
      <c r="L92" s="103" t="s">
        <v>283</v>
      </c>
      <c r="M92" s="104"/>
      <c r="N92" s="103" t="s">
        <v>6</v>
      </c>
      <c r="O92" s="104"/>
      <c r="P92" s="103" t="s">
        <v>5</v>
      </c>
      <c r="Q92" s="104"/>
      <c r="R92" s="103" t="s">
        <v>7</v>
      </c>
      <c r="S92" s="104"/>
      <c r="T92" s="103" t="s">
        <v>284</v>
      </c>
      <c r="U92" s="104"/>
      <c r="V92" s="103" t="s">
        <v>8</v>
      </c>
      <c r="W92" s="104"/>
      <c r="X92" s="103" t="s">
        <v>9</v>
      </c>
      <c r="Y92" s="104"/>
      <c r="Z92" s="103" t="s">
        <v>10</v>
      </c>
      <c r="AA92" s="104"/>
      <c r="AB92" s="103" t="s">
        <v>304</v>
      </c>
      <c r="AC92" s="104"/>
      <c r="AD92" s="103" t="s">
        <v>11</v>
      </c>
      <c r="AE92" s="104"/>
      <c r="AF92" s="103" t="s">
        <v>12</v>
      </c>
      <c r="AG92" s="104"/>
      <c r="AH92" s="103" t="s">
        <v>285</v>
      </c>
      <c r="AI92" s="104"/>
      <c r="AJ92" s="103" t="s">
        <v>290</v>
      </c>
      <c r="AK92" s="104"/>
      <c r="AL92" s="103" t="s">
        <v>13</v>
      </c>
      <c r="AM92" s="104"/>
      <c r="AN92" s="103" t="s">
        <v>286</v>
      </c>
      <c r="AO92" s="104"/>
      <c r="AP92" s="103" t="s">
        <v>287</v>
      </c>
      <c r="AQ92" s="104"/>
      <c r="AR92" s="103" t="s">
        <v>291</v>
      </c>
      <c r="AS92" s="104"/>
      <c r="AT92" s="103" t="s">
        <v>305</v>
      </c>
      <c r="AU92" s="104"/>
      <c r="AV92" s="103" t="s">
        <v>14</v>
      </c>
      <c r="AW92" s="104"/>
      <c r="AX92" s="103" t="s">
        <v>15</v>
      </c>
      <c r="AY92" s="104"/>
      <c r="AZ92" s="103" t="s">
        <v>16</v>
      </c>
      <c r="BA92" s="104"/>
      <c r="BB92" s="103" t="s">
        <v>17</v>
      </c>
      <c r="BC92" s="104"/>
      <c r="BD92" s="103" t="s">
        <v>18</v>
      </c>
      <c r="BE92" s="104"/>
      <c r="BF92" s="103" t="s">
        <v>288</v>
      </c>
      <c r="BG92" s="104"/>
      <c r="BH92" s="103" t="s">
        <v>289</v>
      </c>
      <c r="BI92" s="104"/>
      <c r="BJ92" s="103" t="s">
        <v>19</v>
      </c>
      <c r="BK92" s="104"/>
      <c r="BL92" s="103" t="s">
        <v>20</v>
      </c>
      <c r="BM92" s="104"/>
      <c r="BN92" s="105" t="s">
        <v>21</v>
      </c>
      <c r="BO92" s="106"/>
    </row>
    <row r="93" spans="1:67" ht="30" x14ac:dyDescent="0.25">
      <c r="A93" s="3"/>
      <c r="B93" s="57" t="s">
        <v>293</v>
      </c>
      <c r="C93" s="58" t="s">
        <v>294</v>
      </c>
      <c r="D93" s="57" t="s">
        <v>293</v>
      </c>
      <c r="E93" s="58" t="s">
        <v>294</v>
      </c>
      <c r="F93" s="57" t="s">
        <v>293</v>
      </c>
      <c r="G93" s="58" t="s">
        <v>294</v>
      </c>
      <c r="H93" s="57" t="s">
        <v>293</v>
      </c>
      <c r="I93" s="58" t="s">
        <v>294</v>
      </c>
      <c r="J93" s="57" t="s">
        <v>293</v>
      </c>
      <c r="K93" s="58" t="s">
        <v>294</v>
      </c>
      <c r="L93" s="57" t="s">
        <v>293</v>
      </c>
      <c r="M93" s="58" t="s">
        <v>294</v>
      </c>
      <c r="N93" s="57" t="s">
        <v>293</v>
      </c>
      <c r="O93" s="58" t="s">
        <v>294</v>
      </c>
      <c r="P93" s="57" t="s">
        <v>293</v>
      </c>
      <c r="Q93" s="58" t="s">
        <v>294</v>
      </c>
      <c r="R93" s="57" t="s">
        <v>293</v>
      </c>
      <c r="S93" s="58" t="s">
        <v>294</v>
      </c>
      <c r="T93" s="57" t="s">
        <v>293</v>
      </c>
      <c r="U93" s="58" t="s">
        <v>294</v>
      </c>
      <c r="V93" s="57" t="s">
        <v>293</v>
      </c>
      <c r="W93" s="58" t="s">
        <v>294</v>
      </c>
      <c r="X93" s="57" t="s">
        <v>293</v>
      </c>
      <c r="Y93" s="58" t="s">
        <v>294</v>
      </c>
      <c r="Z93" s="57" t="s">
        <v>293</v>
      </c>
      <c r="AA93" s="58" t="s">
        <v>294</v>
      </c>
      <c r="AB93" s="57" t="s">
        <v>293</v>
      </c>
      <c r="AC93" s="58" t="s">
        <v>294</v>
      </c>
      <c r="AD93" s="57" t="s">
        <v>293</v>
      </c>
      <c r="AE93" s="58" t="s">
        <v>294</v>
      </c>
      <c r="AF93" s="57" t="s">
        <v>293</v>
      </c>
      <c r="AG93" s="58" t="s">
        <v>294</v>
      </c>
      <c r="AH93" s="57" t="s">
        <v>293</v>
      </c>
      <c r="AI93" s="58" t="s">
        <v>294</v>
      </c>
      <c r="AJ93" s="57" t="s">
        <v>293</v>
      </c>
      <c r="AK93" s="58" t="s">
        <v>294</v>
      </c>
      <c r="AL93" s="57" t="s">
        <v>293</v>
      </c>
      <c r="AM93" s="58" t="s">
        <v>294</v>
      </c>
      <c r="AN93" s="57" t="s">
        <v>293</v>
      </c>
      <c r="AO93" s="58" t="s">
        <v>294</v>
      </c>
      <c r="AP93" s="57" t="s">
        <v>293</v>
      </c>
      <c r="AQ93" s="58" t="s">
        <v>294</v>
      </c>
      <c r="AR93" s="57" t="s">
        <v>293</v>
      </c>
      <c r="AS93" s="58" t="s">
        <v>294</v>
      </c>
      <c r="AT93" s="57" t="s">
        <v>293</v>
      </c>
      <c r="AU93" s="58" t="s">
        <v>294</v>
      </c>
      <c r="AV93" s="57" t="s">
        <v>293</v>
      </c>
      <c r="AW93" s="58" t="s">
        <v>294</v>
      </c>
      <c r="AX93" s="57" t="s">
        <v>293</v>
      </c>
      <c r="AY93" s="58" t="s">
        <v>294</v>
      </c>
      <c r="AZ93" s="57" t="s">
        <v>293</v>
      </c>
      <c r="BA93" s="58" t="s">
        <v>294</v>
      </c>
      <c r="BB93" s="57" t="s">
        <v>293</v>
      </c>
      <c r="BC93" s="58" t="s">
        <v>294</v>
      </c>
      <c r="BD93" s="57" t="s">
        <v>293</v>
      </c>
      <c r="BE93" s="58" t="s">
        <v>294</v>
      </c>
      <c r="BF93" s="57" t="s">
        <v>293</v>
      </c>
      <c r="BG93" s="58" t="s">
        <v>294</v>
      </c>
      <c r="BH93" s="57" t="s">
        <v>293</v>
      </c>
      <c r="BI93" s="58" t="s">
        <v>294</v>
      </c>
      <c r="BJ93" s="57" t="s">
        <v>293</v>
      </c>
      <c r="BK93" s="58" t="s">
        <v>294</v>
      </c>
      <c r="BL93" s="57" t="s">
        <v>293</v>
      </c>
      <c r="BM93" s="58" t="s">
        <v>294</v>
      </c>
      <c r="BN93" s="57" t="s">
        <v>293</v>
      </c>
      <c r="BO93" s="58" t="s">
        <v>294</v>
      </c>
    </row>
    <row r="94" spans="1:67" x14ac:dyDescent="0.25">
      <c r="A94" s="21" t="s">
        <v>228</v>
      </c>
      <c r="B94" s="84">
        <f>B105-B83-B72-B61-B39-B28-B17-B6-B50</f>
        <v>0</v>
      </c>
      <c r="C94" s="84">
        <f t="shared" ref="C94:AG94" si="16">C105-C83-C72-C61-C39-C28-C17-C6-C50</f>
        <v>0</v>
      </c>
      <c r="D94" s="84">
        <f t="shared" si="16"/>
        <v>0</v>
      </c>
      <c r="E94" s="84">
        <f t="shared" si="16"/>
        <v>0</v>
      </c>
      <c r="F94" s="84">
        <f t="shared" si="16"/>
        <v>16606642</v>
      </c>
      <c r="G94" s="84">
        <f t="shared" si="16"/>
        <v>71636110</v>
      </c>
      <c r="H94" s="84">
        <f t="shared" si="16"/>
        <v>4251152</v>
      </c>
      <c r="I94" s="84">
        <f t="shared" si="16"/>
        <v>21274430</v>
      </c>
      <c r="J94" s="84">
        <f t="shared" si="16"/>
        <v>744688</v>
      </c>
      <c r="K94" s="84">
        <f t="shared" si="16"/>
        <v>901000</v>
      </c>
      <c r="L94" s="84">
        <f t="shared" si="16"/>
        <v>68922</v>
      </c>
      <c r="M94" s="84">
        <f t="shared" si="16"/>
        <v>339207</v>
      </c>
      <c r="N94" s="84">
        <f t="shared" si="16"/>
        <v>2509074.73</v>
      </c>
      <c r="O94" s="84">
        <f t="shared" si="16"/>
        <v>6609380</v>
      </c>
      <c r="P94" s="84">
        <f t="shared" si="16"/>
        <v>5</v>
      </c>
      <c r="Q94" s="84">
        <f t="shared" si="16"/>
        <v>5</v>
      </c>
      <c r="R94" s="84">
        <f t="shared" si="16"/>
        <v>1041627</v>
      </c>
      <c r="S94" s="84">
        <f t="shared" si="16"/>
        <v>3989856</v>
      </c>
      <c r="T94" s="84">
        <f t="shared" si="16"/>
        <v>78133</v>
      </c>
      <c r="U94" s="84">
        <f t="shared" si="16"/>
        <v>119399.37</v>
      </c>
      <c r="V94" s="84">
        <f t="shared" si="16"/>
        <v>2491938</v>
      </c>
      <c r="W94" s="84">
        <f t="shared" si="16"/>
        <v>15497198</v>
      </c>
      <c r="X94" s="84">
        <f t="shared" si="16"/>
        <v>5835978</v>
      </c>
      <c r="Y94" s="84">
        <f t="shared" si="16"/>
        <v>22560151</v>
      </c>
      <c r="Z94" s="84">
        <f t="shared" si="16"/>
        <v>7209692</v>
      </c>
      <c r="AA94" s="84">
        <f t="shared" si="16"/>
        <v>15778867</v>
      </c>
      <c r="AB94" s="84">
        <f t="shared" si="16"/>
        <v>1056</v>
      </c>
      <c r="AC94" s="84">
        <f t="shared" si="16"/>
        <v>3043</v>
      </c>
      <c r="AD94" s="84">
        <f t="shared" si="16"/>
        <v>25009</v>
      </c>
      <c r="AE94" s="84">
        <f t="shared" si="16"/>
        <v>107700</v>
      </c>
      <c r="AF94" s="84">
        <f t="shared" si="16"/>
        <v>3403</v>
      </c>
      <c r="AG94" s="84">
        <f t="shared" si="16"/>
        <v>5482</v>
      </c>
      <c r="AH94" s="84">
        <f t="shared" ref="AH94:BM94" si="17">AH105-AH83-AH72-AH61-AH39-AH28-AH17-AH6-AH50</f>
        <v>0</v>
      </c>
      <c r="AI94" s="84">
        <f t="shared" si="17"/>
        <v>0</v>
      </c>
      <c r="AJ94" s="84">
        <f t="shared" si="17"/>
        <v>0</v>
      </c>
      <c r="AK94" s="84">
        <f t="shared" si="17"/>
        <v>1</v>
      </c>
      <c r="AL94" s="84">
        <f t="shared" si="17"/>
        <v>8113615.4590000026</v>
      </c>
      <c r="AM94" s="84">
        <f t="shared" si="17"/>
        <v>12510637.488999996</v>
      </c>
      <c r="AN94" s="84">
        <f t="shared" si="17"/>
        <v>24566</v>
      </c>
      <c r="AO94" s="84">
        <f t="shared" si="17"/>
        <v>45677</v>
      </c>
      <c r="AP94" s="84">
        <f t="shared" si="17"/>
        <v>52983</v>
      </c>
      <c r="AQ94" s="84">
        <f t="shared" si="17"/>
        <v>76529</v>
      </c>
      <c r="AR94" s="84">
        <f t="shared" si="17"/>
        <v>7563346</v>
      </c>
      <c r="AS94" s="84">
        <f t="shared" si="17"/>
        <v>10384447</v>
      </c>
      <c r="AT94" s="84">
        <f t="shared" si="17"/>
        <v>0</v>
      </c>
      <c r="AU94" s="84">
        <f t="shared" si="17"/>
        <v>0</v>
      </c>
      <c r="AV94" s="84">
        <f t="shared" si="17"/>
        <v>24300</v>
      </c>
      <c r="AW94" s="84">
        <f t="shared" si="17"/>
        <v>2214190</v>
      </c>
      <c r="AX94" s="84">
        <f t="shared" ref="AX94:AY94" si="18">AX105-AX83-AX72-AX61-AX39-AX28-AX17-AX6-AX50</f>
        <v>5401764</v>
      </c>
      <c r="AY94" s="84">
        <f t="shared" si="18"/>
        <v>14063261</v>
      </c>
      <c r="AZ94" s="84">
        <f t="shared" si="17"/>
        <v>4099</v>
      </c>
      <c r="BA94" s="84">
        <f t="shared" si="17"/>
        <v>10900</v>
      </c>
      <c r="BB94" s="84">
        <f t="shared" si="17"/>
        <v>16395010</v>
      </c>
      <c r="BC94" s="84">
        <f t="shared" si="17"/>
        <v>32945057</v>
      </c>
      <c r="BD94" s="84">
        <f t="shared" si="17"/>
        <v>209530</v>
      </c>
      <c r="BE94" s="84">
        <f t="shared" si="17"/>
        <v>1371215</v>
      </c>
      <c r="BF94" s="84">
        <f t="shared" si="17"/>
        <v>13911540</v>
      </c>
      <c r="BG94" s="84">
        <f t="shared" si="17"/>
        <v>27321588</v>
      </c>
      <c r="BH94" s="84">
        <f t="shared" si="17"/>
        <v>8933147</v>
      </c>
      <c r="BI94" s="84">
        <f t="shared" si="17"/>
        <v>22654864</v>
      </c>
      <c r="BJ94" s="84">
        <f t="shared" si="17"/>
        <v>1337050</v>
      </c>
      <c r="BK94" s="84">
        <f t="shared" si="17"/>
        <v>17538669</v>
      </c>
      <c r="BL94" s="84">
        <f t="shared" si="17"/>
        <v>127049</v>
      </c>
      <c r="BM94" s="84">
        <f t="shared" si="17"/>
        <v>1409065</v>
      </c>
      <c r="BN94" s="73">
        <f t="shared" ref="BN94:BN100" si="19">SUM(B94+D94+F94+H94+J94+L94+N94+P94+R94+T94+V94+X94+Z94+AB94+AD94+AF94+AH94+AJ94+AL94+AN94+AP94+AR94+AT94+AV94+AX94+AZ94+BB94+BD94+BF94+BH94+BJ94+BL94)</f>
        <v>102965319.18900001</v>
      </c>
      <c r="BO94" s="73">
        <f t="shared" ref="BO94:BO100" si="20">SUM(C94+E94+G94+I94+K94+M94+O94+Q94+S94+U94+W94+Y94+AA94+AC94+AE94+AG94+AI94+AK94+AM94+AO94+AQ94+AS94+AU94+AW94+AY94+BA94+BC94+BE94+BG94+BI94+BK94+BM94)</f>
        <v>301367928.85899997</v>
      </c>
    </row>
    <row r="95" spans="1:67" x14ac:dyDescent="0.25">
      <c r="A95" s="21" t="s">
        <v>279</v>
      </c>
      <c r="B95" s="84">
        <f t="shared" ref="B95:AG95" si="21">B106-B84-B73-B62-B40-B29-B18-B7-B51</f>
        <v>0</v>
      </c>
      <c r="C95" s="84">
        <f t="shared" si="21"/>
        <v>0</v>
      </c>
      <c r="D95" s="84">
        <f t="shared" si="21"/>
        <v>0</v>
      </c>
      <c r="E95" s="84">
        <f t="shared" si="21"/>
        <v>0</v>
      </c>
      <c r="F95" s="84">
        <f t="shared" si="21"/>
        <v>21733162</v>
      </c>
      <c r="G95" s="84">
        <f t="shared" si="21"/>
        <v>62677419</v>
      </c>
      <c r="H95" s="84">
        <f t="shared" si="21"/>
        <v>-86121</v>
      </c>
      <c r="I95" s="84">
        <f t="shared" si="21"/>
        <v>5618655</v>
      </c>
      <c r="J95" s="84">
        <f t="shared" si="21"/>
        <v>556469</v>
      </c>
      <c r="K95" s="84">
        <f t="shared" si="21"/>
        <v>1759037</v>
      </c>
      <c r="L95" s="84">
        <f t="shared" si="21"/>
        <v>198731</v>
      </c>
      <c r="M95" s="84">
        <f t="shared" si="21"/>
        <v>198731</v>
      </c>
      <c r="N95" s="84">
        <f t="shared" si="21"/>
        <v>-1858564.2</v>
      </c>
      <c r="O95" s="84">
        <f t="shared" si="21"/>
        <v>69157848.890000001</v>
      </c>
      <c r="P95" s="84">
        <f t="shared" si="21"/>
        <v>948</v>
      </c>
      <c r="Q95" s="84">
        <f t="shared" si="21"/>
        <v>947</v>
      </c>
      <c r="R95" s="84">
        <f t="shared" si="21"/>
        <v>2310249</v>
      </c>
      <c r="S95" s="84">
        <f t="shared" si="21"/>
        <v>2310249</v>
      </c>
      <c r="T95" s="84">
        <f t="shared" si="21"/>
        <v>724872</v>
      </c>
      <c r="U95" s="84">
        <f t="shared" si="21"/>
        <v>724871.98</v>
      </c>
      <c r="V95" s="84">
        <f t="shared" si="21"/>
        <v>22093381</v>
      </c>
      <c r="W95" s="84">
        <f t="shared" si="21"/>
        <v>22093381</v>
      </c>
      <c r="X95" s="84">
        <f t="shared" si="21"/>
        <v>12698511</v>
      </c>
      <c r="Y95" s="84">
        <f t="shared" si="21"/>
        <v>12698511</v>
      </c>
      <c r="Z95" s="84">
        <f t="shared" si="21"/>
        <v>-493042</v>
      </c>
      <c r="AA95" s="84">
        <f t="shared" si="21"/>
        <v>3781731</v>
      </c>
      <c r="AB95" s="84">
        <f t="shared" si="21"/>
        <v>22104</v>
      </c>
      <c r="AC95" s="84">
        <f t="shared" si="21"/>
        <v>22104</v>
      </c>
      <c r="AD95" s="84">
        <f t="shared" si="21"/>
        <v>391259</v>
      </c>
      <c r="AE95" s="84">
        <f t="shared" si="21"/>
        <v>391258</v>
      </c>
      <c r="AF95" s="84">
        <f t="shared" si="21"/>
        <v>1185876</v>
      </c>
      <c r="AG95" s="84">
        <f t="shared" si="21"/>
        <v>1185876</v>
      </c>
      <c r="AH95" s="84">
        <f t="shared" ref="AH95:BM95" si="22">AH106-AH84-AH73-AH62-AH40-AH29-AH18-AH7-AH51</f>
        <v>0</v>
      </c>
      <c r="AI95" s="84">
        <f t="shared" si="22"/>
        <v>0</v>
      </c>
      <c r="AJ95" s="84">
        <f t="shared" si="22"/>
        <v>0</v>
      </c>
      <c r="AK95" s="84">
        <f t="shared" si="22"/>
        <v>0</v>
      </c>
      <c r="AL95" s="84">
        <f t="shared" si="22"/>
        <v>3704626.5123165632</v>
      </c>
      <c r="AM95" s="84">
        <f t="shared" si="22"/>
        <v>16709738.945528442</v>
      </c>
      <c r="AN95" s="84">
        <f t="shared" si="22"/>
        <v>10162</v>
      </c>
      <c r="AO95" s="84">
        <f t="shared" si="22"/>
        <v>10162</v>
      </c>
      <c r="AP95" s="84">
        <f t="shared" si="22"/>
        <v>7208</v>
      </c>
      <c r="AQ95" s="84">
        <f t="shared" si="22"/>
        <v>453253</v>
      </c>
      <c r="AR95" s="84">
        <f t="shared" si="22"/>
        <v>5509573</v>
      </c>
      <c r="AS95" s="84">
        <f t="shared" si="22"/>
        <v>5509573</v>
      </c>
      <c r="AT95" s="84">
        <f t="shared" si="22"/>
        <v>0</v>
      </c>
      <c r="AU95" s="84">
        <f t="shared" si="22"/>
        <v>0</v>
      </c>
      <c r="AV95" s="84">
        <f t="shared" si="22"/>
        <v>274009</v>
      </c>
      <c r="AW95" s="84">
        <f t="shared" si="22"/>
        <v>1437698</v>
      </c>
      <c r="AX95" s="84">
        <f t="shared" ref="AX95:AY95" si="23">AX106-AX84-AX73-AX62-AX40-AX29-AX18-AX7-AX51</f>
        <v>6329070</v>
      </c>
      <c r="AY95" s="84">
        <f t="shared" si="23"/>
        <v>6329070</v>
      </c>
      <c r="AZ95" s="84">
        <f t="shared" si="22"/>
        <v>188449</v>
      </c>
      <c r="BA95" s="84">
        <f t="shared" si="22"/>
        <v>188449</v>
      </c>
      <c r="BB95" s="84">
        <f t="shared" si="22"/>
        <v>11730305</v>
      </c>
      <c r="BC95" s="84">
        <f t="shared" si="22"/>
        <v>11730305</v>
      </c>
      <c r="BD95" s="84">
        <f t="shared" si="22"/>
        <v>2703130</v>
      </c>
      <c r="BE95" s="84">
        <f t="shared" si="22"/>
        <v>2703130</v>
      </c>
      <c r="BF95" s="84">
        <f t="shared" si="22"/>
        <v>28136722</v>
      </c>
      <c r="BG95" s="84">
        <f t="shared" si="22"/>
        <v>28136722</v>
      </c>
      <c r="BH95" s="84">
        <f t="shared" si="22"/>
        <v>-1838938</v>
      </c>
      <c r="BI95" s="84">
        <f t="shared" si="22"/>
        <v>18868018</v>
      </c>
      <c r="BJ95" s="84">
        <f t="shared" si="22"/>
        <v>18497825</v>
      </c>
      <c r="BK95" s="84">
        <f t="shared" si="22"/>
        <v>18497825</v>
      </c>
      <c r="BL95" s="84">
        <f t="shared" si="22"/>
        <v>725213</v>
      </c>
      <c r="BM95" s="84">
        <f t="shared" si="22"/>
        <v>1978805</v>
      </c>
      <c r="BN95" s="73">
        <f t="shared" si="19"/>
        <v>135455189.31231657</v>
      </c>
      <c r="BO95" s="73">
        <f t="shared" si="20"/>
        <v>295173368.81552839</v>
      </c>
    </row>
    <row r="96" spans="1:67" x14ac:dyDescent="0.25">
      <c r="A96" s="21" t="s">
        <v>278</v>
      </c>
      <c r="B96" s="84">
        <f t="shared" ref="B96:AG96" si="24">B107-B85-B74-B63-B41-B30-B19-B8-B52</f>
        <v>0</v>
      </c>
      <c r="C96" s="84">
        <f t="shared" si="24"/>
        <v>0</v>
      </c>
      <c r="D96" s="84">
        <f t="shared" si="24"/>
        <v>0</v>
      </c>
      <c r="E96" s="84">
        <f t="shared" si="24"/>
        <v>0</v>
      </c>
      <c r="F96" s="84">
        <f t="shared" si="24"/>
        <v>0</v>
      </c>
      <c r="G96" s="84">
        <f t="shared" si="24"/>
        <v>30548700</v>
      </c>
      <c r="H96" s="84">
        <f t="shared" si="24"/>
        <v>0</v>
      </c>
      <c r="I96" s="84">
        <f t="shared" si="24"/>
        <v>5945011</v>
      </c>
      <c r="J96" s="84">
        <f t="shared" si="24"/>
        <v>0</v>
      </c>
      <c r="K96" s="84">
        <f t="shared" si="24"/>
        <v>1014343</v>
      </c>
      <c r="L96" s="84">
        <f t="shared" si="24"/>
        <v>209775</v>
      </c>
      <c r="M96" s="84">
        <f t="shared" si="24"/>
        <v>229417</v>
      </c>
      <c r="N96" s="84">
        <f t="shared" si="24"/>
        <v>0</v>
      </c>
      <c r="O96" s="84">
        <f t="shared" si="24"/>
        <v>66741573.270000003</v>
      </c>
      <c r="P96" s="84">
        <f t="shared" si="24"/>
        <v>449</v>
      </c>
      <c r="Q96" s="84">
        <f t="shared" si="24"/>
        <v>506</v>
      </c>
      <c r="R96" s="84">
        <f t="shared" si="24"/>
        <v>2031411</v>
      </c>
      <c r="S96" s="84">
        <f t="shared" si="24"/>
        <v>2227212</v>
      </c>
      <c r="T96" s="84">
        <f t="shared" si="24"/>
        <v>418946</v>
      </c>
      <c r="U96" s="84">
        <f t="shared" si="24"/>
        <v>556132.53</v>
      </c>
      <c r="V96" s="84">
        <f t="shared" si="24"/>
        <v>-21148153</v>
      </c>
      <c r="W96" s="84">
        <f t="shared" si="24"/>
        <v>-23223638</v>
      </c>
      <c r="X96" s="84">
        <f t="shared" si="24"/>
        <v>17639675</v>
      </c>
      <c r="Y96" s="84">
        <f t="shared" si="24"/>
        <v>32274629</v>
      </c>
      <c r="Z96" s="84">
        <f t="shared" si="24"/>
        <v>0</v>
      </c>
      <c r="AA96" s="84">
        <f t="shared" si="24"/>
        <v>5094474</v>
      </c>
      <c r="AB96" s="84">
        <f t="shared" si="24"/>
        <v>19893</v>
      </c>
      <c r="AC96" s="84">
        <f t="shared" si="24"/>
        <v>13421</v>
      </c>
      <c r="AD96" s="84">
        <f t="shared" si="24"/>
        <v>423587</v>
      </c>
      <c r="AE96" s="84">
        <f t="shared" si="24"/>
        <v>353723</v>
      </c>
      <c r="AF96" s="84">
        <f t="shared" si="24"/>
        <v>-1132111</v>
      </c>
      <c r="AG96" s="84">
        <f t="shared" si="24"/>
        <v>-1082255</v>
      </c>
      <c r="AH96" s="84">
        <f t="shared" ref="AH96:BM96" si="25">AH107-AH85-AH74-AH63-AH41-AH30-AH19-AH8-AH52</f>
        <v>0</v>
      </c>
      <c r="AI96" s="84">
        <f t="shared" si="25"/>
        <v>0</v>
      </c>
      <c r="AJ96" s="84">
        <f t="shared" si="25"/>
        <v>-1</v>
      </c>
      <c r="AK96" s="84">
        <f t="shared" si="25"/>
        <v>0</v>
      </c>
      <c r="AL96" s="84">
        <f t="shared" si="25"/>
        <v>0</v>
      </c>
      <c r="AM96" s="84">
        <f t="shared" si="25"/>
        <v>11296161.485349458</v>
      </c>
      <c r="AN96" s="84">
        <f t="shared" si="25"/>
        <v>-10063</v>
      </c>
      <c r="AO96" s="84">
        <f t="shared" si="25"/>
        <v>-7614</v>
      </c>
      <c r="AP96" s="84">
        <f t="shared" si="25"/>
        <v>0</v>
      </c>
      <c r="AQ96" s="84">
        <f t="shared" si="25"/>
        <v>365917</v>
      </c>
      <c r="AR96" s="84">
        <f t="shared" si="25"/>
        <v>6154772</v>
      </c>
      <c r="AS96" s="84">
        <f t="shared" si="25"/>
        <v>4006897</v>
      </c>
      <c r="AT96" s="84">
        <f t="shared" si="25"/>
        <v>0</v>
      </c>
      <c r="AU96" s="84">
        <f t="shared" si="25"/>
        <v>0</v>
      </c>
      <c r="AV96" s="84">
        <f t="shared" si="25"/>
        <v>0</v>
      </c>
      <c r="AW96" s="84">
        <f t="shared" si="25"/>
        <v>-4646894</v>
      </c>
      <c r="AX96" s="84">
        <f t="shared" ref="AX96:AY96" si="26">AX107-AX85-AX74-AX63-AX41-AX30-AX19-AX8-AX52</f>
        <v>6426830</v>
      </c>
      <c r="AY96" s="84">
        <f t="shared" si="26"/>
        <v>5891498</v>
      </c>
      <c r="AZ96" s="84">
        <f t="shared" si="25"/>
        <v>179755</v>
      </c>
      <c r="BA96" s="84">
        <f t="shared" si="25"/>
        <v>155510</v>
      </c>
      <c r="BB96" s="84">
        <f t="shared" si="25"/>
        <v>10327162</v>
      </c>
      <c r="BC96" s="84">
        <f t="shared" si="25"/>
        <v>5613924</v>
      </c>
      <c r="BD96" s="84">
        <f t="shared" si="25"/>
        <v>2605272</v>
      </c>
      <c r="BE96" s="84">
        <f t="shared" si="25"/>
        <v>3423599</v>
      </c>
      <c r="BF96" s="84">
        <f t="shared" si="25"/>
        <v>35633889</v>
      </c>
      <c r="BG96" s="84">
        <f t="shared" si="25"/>
        <v>40171069</v>
      </c>
      <c r="BH96" s="84">
        <f t="shared" si="25"/>
        <v>0</v>
      </c>
      <c r="BI96" s="84">
        <f t="shared" si="25"/>
        <v>31681158</v>
      </c>
      <c r="BJ96" s="84">
        <f t="shared" si="25"/>
        <v>13864332</v>
      </c>
      <c r="BK96" s="84">
        <f t="shared" si="25"/>
        <v>26621788</v>
      </c>
      <c r="BL96" s="84">
        <f t="shared" si="25"/>
        <v>0</v>
      </c>
      <c r="BM96" s="84">
        <f t="shared" si="25"/>
        <v>1113818</v>
      </c>
      <c r="BN96" s="73">
        <f t="shared" si="19"/>
        <v>73645420</v>
      </c>
      <c r="BO96" s="73">
        <f t="shared" si="20"/>
        <v>246380080.28534949</v>
      </c>
    </row>
    <row r="97" spans="1:67" x14ac:dyDescent="0.25">
      <c r="A97" s="21" t="s">
        <v>281</v>
      </c>
      <c r="B97" s="84">
        <f t="shared" ref="B97:AG97" si="27">B108-B86-B75-B64-B42-B31-B20-B9-B53</f>
        <v>0</v>
      </c>
      <c r="C97" s="84">
        <f t="shared" si="27"/>
        <v>0</v>
      </c>
      <c r="D97" s="84">
        <f t="shared" si="27"/>
        <v>0</v>
      </c>
      <c r="E97" s="84">
        <f t="shared" si="27"/>
        <v>0</v>
      </c>
      <c r="F97" s="84">
        <f t="shared" si="27"/>
        <v>0</v>
      </c>
      <c r="G97" s="84">
        <f t="shared" si="27"/>
        <v>0</v>
      </c>
      <c r="H97" s="84">
        <f t="shared" si="27"/>
        <v>4165031</v>
      </c>
      <c r="I97" s="84">
        <f t="shared" si="27"/>
        <v>20948074</v>
      </c>
      <c r="J97" s="84">
        <f t="shared" si="27"/>
        <v>0</v>
      </c>
      <c r="K97" s="84">
        <f t="shared" si="27"/>
        <v>0</v>
      </c>
      <c r="L97" s="84">
        <f t="shared" si="27"/>
        <v>57878</v>
      </c>
      <c r="M97" s="84">
        <f t="shared" si="27"/>
        <v>308521</v>
      </c>
      <c r="N97" s="84">
        <f t="shared" si="27"/>
        <v>0</v>
      </c>
      <c r="O97" s="84">
        <f t="shared" si="27"/>
        <v>0</v>
      </c>
      <c r="P97" s="84">
        <f t="shared" si="27"/>
        <v>504</v>
      </c>
      <c r="Q97" s="84">
        <f t="shared" si="27"/>
        <v>446</v>
      </c>
      <c r="R97" s="84">
        <f t="shared" si="27"/>
        <v>0</v>
      </c>
      <c r="S97" s="84">
        <f t="shared" si="27"/>
        <v>0</v>
      </c>
      <c r="T97" s="84">
        <f t="shared" si="27"/>
        <v>0</v>
      </c>
      <c r="U97" s="84">
        <f t="shared" si="27"/>
        <v>0</v>
      </c>
      <c r="V97" s="84">
        <f t="shared" si="27"/>
        <v>3437167</v>
      </c>
      <c r="W97" s="84">
        <f t="shared" si="27"/>
        <v>14366941</v>
      </c>
      <c r="X97" s="84">
        <f t="shared" si="27"/>
        <v>894814</v>
      </c>
      <c r="Y97" s="84">
        <f t="shared" si="27"/>
        <v>2984033</v>
      </c>
      <c r="Z97" s="84">
        <f t="shared" si="27"/>
        <v>6716650</v>
      </c>
      <c r="AA97" s="84">
        <f t="shared" si="27"/>
        <v>14466124</v>
      </c>
      <c r="AB97" s="84">
        <f t="shared" si="27"/>
        <v>3267</v>
      </c>
      <c r="AC97" s="84">
        <f t="shared" si="27"/>
        <v>11726</v>
      </c>
      <c r="AD97" s="84">
        <f t="shared" si="27"/>
        <v>-7319</v>
      </c>
      <c r="AE97" s="84">
        <f t="shared" si="27"/>
        <v>145234</v>
      </c>
      <c r="AF97" s="84">
        <f t="shared" si="27"/>
        <v>57168</v>
      </c>
      <c r="AG97" s="84">
        <f t="shared" si="27"/>
        <v>109103</v>
      </c>
      <c r="AH97" s="84">
        <f t="shared" ref="AH97:BM97" si="28">AH108-AH86-AH75-AH64-AH42-AH31-AH20-AH9-AH53</f>
        <v>0</v>
      </c>
      <c r="AI97" s="84">
        <f t="shared" si="28"/>
        <v>1</v>
      </c>
      <c r="AJ97" s="84">
        <f t="shared" si="28"/>
        <v>0</v>
      </c>
      <c r="AK97" s="84">
        <f t="shared" si="28"/>
        <v>1</v>
      </c>
      <c r="AL97" s="84">
        <f t="shared" si="28"/>
        <v>0</v>
      </c>
      <c r="AM97" s="84">
        <f t="shared" si="28"/>
        <v>0</v>
      </c>
      <c r="AN97" s="84">
        <f t="shared" si="28"/>
        <v>24664</v>
      </c>
      <c r="AO97" s="84">
        <f t="shared" si="28"/>
        <v>48225</v>
      </c>
      <c r="AP97" s="84">
        <f t="shared" si="28"/>
        <v>60191</v>
      </c>
      <c r="AQ97" s="84">
        <f t="shared" si="28"/>
        <v>163864</v>
      </c>
      <c r="AR97" s="84">
        <f t="shared" si="28"/>
        <v>0</v>
      </c>
      <c r="AS97" s="84">
        <f t="shared" si="28"/>
        <v>0</v>
      </c>
      <c r="AT97" s="84">
        <f t="shared" si="28"/>
        <v>0</v>
      </c>
      <c r="AU97" s="84">
        <f t="shared" si="28"/>
        <v>0</v>
      </c>
      <c r="AV97" s="84">
        <f t="shared" si="28"/>
        <v>298309</v>
      </c>
      <c r="AW97" s="84">
        <f t="shared" si="28"/>
        <v>-995007</v>
      </c>
      <c r="AX97" s="84">
        <f t="shared" ref="AX97:AY99" si="29">AX108-AX86-AX75-AX64-AX42-AX31-AX20-AX9-AX53</f>
        <v>0</v>
      </c>
      <c r="AY97" s="84">
        <f t="shared" si="29"/>
        <v>0</v>
      </c>
      <c r="AZ97" s="84">
        <f t="shared" si="28"/>
        <v>0</v>
      </c>
      <c r="BA97" s="84">
        <f t="shared" si="28"/>
        <v>0</v>
      </c>
      <c r="BB97" s="84">
        <f t="shared" si="28"/>
        <v>17798153</v>
      </c>
      <c r="BC97" s="84">
        <f t="shared" si="28"/>
        <v>39061438</v>
      </c>
      <c r="BD97" s="84">
        <f t="shared" si="28"/>
        <v>307388</v>
      </c>
      <c r="BE97" s="84">
        <f t="shared" si="28"/>
        <v>650746</v>
      </c>
      <c r="BF97" s="84">
        <f t="shared" si="28"/>
        <v>6414371</v>
      </c>
      <c r="BG97" s="84">
        <f t="shared" si="28"/>
        <v>15287243</v>
      </c>
      <c r="BH97" s="84">
        <f t="shared" si="28"/>
        <v>7094209</v>
      </c>
      <c r="BI97" s="84">
        <f t="shared" si="28"/>
        <v>9841724</v>
      </c>
      <c r="BJ97" s="84">
        <f t="shared" si="28"/>
        <v>5970543</v>
      </c>
      <c r="BK97" s="84">
        <f t="shared" si="28"/>
        <v>9414706</v>
      </c>
      <c r="BL97" s="84">
        <f t="shared" si="28"/>
        <v>852262</v>
      </c>
      <c r="BM97" s="84">
        <f t="shared" si="28"/>
        <v>2274052</v>
      </c>
      <c r="BN97" s="73">
        <f t="shared" si="19"/>
        <v>54145250</v>
      </c>
      <c r="BO97" s="73">
        <f t="shared" si="20"/>
        <v>129087195</v>
      </c>
    </row>
    <row r="98" spans="1:67" x14ac:dyDescent="0.25">
      <c r="A98" s="21" t="s">
        <v>276</v>
      </c>
      <c r="B98" s="84">
        <f t="shared" ref="B98:AG98" si="30">B109-B87-B76-B65-B43-B32-B21-B10-B54</f>
        <v>0</v>
      </c>
      <c r="C98" s="84">
        <f t="shared" si="30"/>
        <v>0</v>
      </c>
      <c r="D98" s="84">
        <f t="shared" si="30"/>
        <v>0</v>
      </c>
      <c r="E98" s="84">
        <f t="shared" si="30"/>
        <v>0</v>
      </c>
      <c r="F98" s="84">
        <f t="shared" si="30"/>
        <v>0</v>
      </c>
      <c r="G98" s="84">
        <f t="shared" si="30"/>
        <v>-8070</v>
      </c>
      <c r="H98" s="84">
        <f t="shared" si="30"/>
        <v>0</v>
      </c>
      <c r="I98" s="84">
        <f t="shared" si="30"/>
        <v>3</v>
      </c>
      <c r="J98" s="84">
        <f t="shared" si="30"/>
        <v>-1</v>
      </c>
      <c r="K98" s="84">
        <f t="shared" si="30"/>
        <v>-1</v>
      </c>
      <c r="L98" s="84">
        <f t="shared" si="30"/>
        <v>0</v>
      </c>
      <c r="M98" s="84">
        <f t="shared" si="30"/>
        <v>1</v>
      </c>
      <c r="N98" s="84">
        <f t="shared" si="30"/>
        <v>0</v>
      </c>
      <c r="O98" s="84">
        <f t="shared" si="30"/>
        <v>0</v>
      </c>
      <c r="P98" s="84">
        <f t="shared" si="30"/>
        <v>0</v>
      </c>
      <c r="Q98" s="84">
        <f t="shared" si="30"/>
        <v>0</v>
      </c>
      <c r="R98" s="84">
        <f t="shared" si="30"/>
        <v>0</v>
      </c>
      <c r="S98" s="84">
        <f t="shared" si="30"/>
        <v>-1</v>
      </c>
      <c r="T98" s="84">
        <f t="shared" si="30"/>
        <v>11259</v>
      </c>
      <c r="U98" s="84">
        <f t="shared" si="30"/>
        <v>535882.68999999994</v>
      </c>
      <c r="V98" s="84">
        <f t="shared" si="30"/>
        <v>1</v>
      </c>
      <c r="W98" s="84">
        <f t="shared" si="30"/>
        <v>0</v>
      </c>
      <c r="X98" s="84">
        <f t="shared" si="30"/>
        <v>2</v>
      </c>
      <c r="Y98" s="84">
        <f t="shared" si="30"/>
        <v>2877</v>
      </c>
      <c r="Z98" s="84">
        <f t="shared" si="30"/>
        <v>0</v>
      </c>
      <c r="AA98" s="84">
        <f t="shared" si="30"/>
        <v>0</v>
      </c>
      <c r="AB98" s="84">
        <f t="shared" si="30"/>
        <v>0</v>
      </c>
      <c r="AC98" s="84">
        <f t="shared" si="30"/>
        <v>0</v>
      </c>
      <c r="AD98" s="84">
        <f t="shared" si="30"/>
        <v>-1</v>
      </c>
      <c r="AE98" s="84">
        <f t="shared" si="30"/>
        <v>1</v>
      </c>
      <c r="AF98" s="84">
        <f t="shared" si="30"/>
        <v>0</v>
      </c>
      <c r="AG98" s="84">
        <f t="shared" si="30"/>
        <v>0</v>
      </c>
      <c r="AH98" s="84">
        <f t="shared" ref="AH98:BM98" si="31">AH109-AH87-AH76-AH65-AH43-AH32-AH21-AH10-AH54</f>
        <v>0</v>
      </c>
      <c r="AI98" s="84">
        <f t="shared" si="31"/>
        <v>0</v>
      </c>
      <c r="AJ98" s="84">
        <f t="shared" si="31"/>
        <v>0</v>
      </c>
      <c r="AK98" s="84">
        <f t="shared" si="31"/>
        <v>0</v>
      </c>
      <c r="AL98" s="84">
        <f t="shared" si="31"/>
        <v>834.34400000001187</v>
      </c>
      <c r="AM98" s="84">
        <f t="shared" si="31"/>
        <v>102199.29899999988</v>
      </c>
      <c r="AN98" s="84">
        <f t="shared" si="31"/>
        <v>0</v>
      </c>
      <c r="AO98" s="84">
        <f t="shared" si="31"/>
        <v>0</v>
      </c>
      <c r="AP98" s="84">
        <f t="shared" si="31"/>
        <v>1640</v>
      </c>
      <c r="AQ98" s="84">
        <f t="shared" si="31"/>
        <v>4456</v>
      </c>
      <c r="AR98" s="84">
        <f t="shared" si="31"/>
        <v>1</v>
      </c>
      <c r="AS98" s="84">
        <f t="shared" si="31"/>
        <v>2</v>
      </c>
      <c r="AT98" s="84">
        <f t="shared" si="31"/>
        <v>0</v>
      </c>
      <c r="AU98" s="84">
        <f t="shared" si="31"/>
        <v>0</v>
      </c>
      <c r="AV98" s="84">
        <f t="shared" si="31"/>
        <v>2420</v>
      </c>
      <c r="AW98" s="84">
        <f t="shared" si="31"/>
        <v>4465</v>
      </c>
      <c r="AX98" s="84">
        <f t="shared" si="29"/>
        <v>0</v>
      </c>
      <c r="AY98" s="84">
        <f t="shared" si="29"/>
        <v>0</v>
      </c>
      <c r="AZ98" s="84">
        <f t="shared" si="31"/>
        <v>0</v>
      </c>
      <c r="BA98" s="84">
        <f t="shared" si="31"/>
        <v>0</v>
      </c>
      <c r="BB98" s="84">
        <f t="shared" si="31"/>
        <v>0</v>
      </c>
      <c r="BC98" s="84">
        <f t="shared" si="31"/>
        <v>0</v>
      </c>
      <c r="BD98" s="84">
        <f t="shared" si="31"/>
        <v>0</v>
      </c>
      <c r="BE98" s="84">
        <f t="shared" si="31"/>
        <v>1</v>
      </c>
      <c r="BF98" s="84">
        <f t="shared" si="31"/>
        <v>18158</v>
      </c>
      <c r="BG98" s="84">
        <f t="shared" si="31"/>
        <v>56140</v>
      </c>
      <c r="BH98" s="84">
        <f t="shared" si="31"/>
        <v>-23166</v>
      </c>
      <c r="BI98" s="84">
        <f t="shared" si="31"/>
        <v>-67096</v>
      </c>
      <c r="BJ98" s="84">
        <f t="shared" si="31"/>
        <v>-38621</v>
      </c>
      <c r="BK98" s="84">
        <f t="shared" si="31"/>
        <v>-90520</v>
      </c>
      <c r="BL98" s="84">
        <f t="shared" si="31"/>
        <v>0</v>
      </c>
      <c r="BM98" s="84">
        <f t="shared" si="31"/>
        <v>0</v>
      </c>
      <c r="BN98" s="73">
        <f t="shared" si="19"/>
        <v>-27473.655999999988</v>
      </c>
      <c r="BO98" s="73">
        <f t="shared" si="20"/>
        <v>540339.98899999983</v>
      </c>
    </row>
    <row r="99" spans="1:67" x14ac:dyDescent="0.25">
      <c r="A99" s="21" t="s">
        <v>277</v>
      </c>
      <c r="B99" s="84">
        <f t="shared" ref="B99:AG99" si="32">B110-B88-B77-B66-B44-B33-B22-B11-B55</f>
        <v>0</v>
      </c>
      <c r="C99" s="84">
        <f t="shared" si="32"/>
        <v>0</v>
      </c>
      <c r="D99" s="84">
        <f t="shared" si="32"/>
        <v>1</v>
      </c>
      <c r="E99" s="84">
        <f t="shared" si="32"/>
        <v>0</v>
      </c>
      <c r="F99" s="84">
        <f t="shared" si="32"/>
        <v>21437976</v>
      </c>
      <c r="G99" s="84">
        <f t="shared" si="32"/>
        <v>46427864</v>
      </c>
      <c r="H99" s="84">
        <f t="shared" si="32"/>
        <v>3091838</v>
      </c>
      <c r="I99" s="84">
        <f t="shared" si="32"/>
        <v>16513657</v>
      </c>
      <c r="J99" s="84">
        <f t="shared" si="32"/>
        <v>577984</v>
      </c>
      <c r="K99" s="84">
        <f t="shared" si="32"/>
        <v>673699</v>
      </c>
      <c r="L99" s="84">
        <f t="shared" si="32"/>
        <v>34059</v>
      </c>
      <c r="M99" s="84">
        <f t="shared" si="32"/>
        <v>239433</v>
      </c>
      <c r="N99" s="84">
        <f t="shared" si="32"/>
        <v>709974.65</v>
      </c>
      <c r="O99" s="84">
        <f t="shared" si="32"/>
        <v>1830573.28</v>
      </c>
      <c r="P99" s="84">
        <f t="shared" si="32"/>
        <v>371</v>
      </c>
      <c r="Q99" s="84">
        <f t="shared" si="32"/>
        <v>171</v>
      </c>
      <c r="R99" s="84">
        <f t="shared" si="32"/>
        <v>650742</v>
      </c>
      <c r="S99" s="84">
        <f t="shared" si="32"/>
        <v>2781872</v>
      </c>
      <c r="T99" s="84">
        <f t="shared" si="32"/>
        <v>19165</v>
      </c>
      <c r="U99" s="84">
        <f t="shared" si="32"/>
        <v>244935.88</v>
      </c>
      <c r="V99" s="84">
        <f t="shared" si="32"/>
        <v>-2580811</v>
      </c>
      <c r="W99" s="84">
        <f t="shared" si="32"/>
        <v>-10834555</v>
      </c>
      <c r="X99" s="84">
        <f t="shared" si="32"/>
        <v>4143811</v>
      </c>
      <c r="Y99" s="84">
        <f t="shared" si="32"/>
        <v>16192242</v>
      </c>
      <c r="Z99" s="84">
        <f t="shared" si="32"/>
        <v>5284341</v>
      </c>
      <c r="AA99" s="84">
        <f t="shared" si="32"/>
        <v>11536724</v>
      </c>
      <c r="AB99" s="84">
        <f t="shared" si="32"/>
        <v>543</v>
      </c>
      <c r="AC99" s="84">
        <f t="shared" si="32"/>
        <v>1262</v>
      </c>
      <c r="AD99" s="84">
        <f t="shared" si="32"/>
        <v>6813</v>
      </c>
      <c r="AE99" s="84">
        <f t="shared" si="32"/>
        <v>32885</v>
      </c>
      <c r="AF99" s="84">
        <f t="shared" si="32"/>
        <v>-1225</v>
      </c>
      <c r="AG99" s="84">
        <f t="shared" si="32"/>
        <v>-2667</v>
      </c>
      <c r="AH99" s="84">
        <f t="shared" ref="AH99:BM99" si="33">AH110-AH88-AH77-AH66-AH44-AH33-AH22-AH11-AH55</f>
        <v>1</v>
      </c>
      <c r="AI99" s="84">
        <f t="shared" si="33"/>
        <v>0</v>
      </c>
      <c r="AJ99" s="84">
        <f t="shared" si="33"/>
        <v>0</v>
      </c>
      <c r="AK99" s="84">
        <f t="shared" si="33"/>
        <v>0</v>
      </c>
      <c r="AL99" s="84">
        <f t="shared" si="33"/>
        <v>5786134.4518609988</v>
      </c>
      <c r="AM99" s="84">
        <f t="shared" si="33"/>
        <v>8574340.8948934972</v>
      </c>
      <c r="AN99" s="84">
        <f t="shared" si="33"/>
        <v>-1228</v>
      </c>
      <c r="AO99" s="84">
        <f t="shared" si="33"/>
        <v>-2284</v>
      </c>
      <c r="AP99" s="84">
        <f t="shared" si="33"/>
        <v>28640</v>
      </c>
      <c r="AQ99" s="84">
        <f t="shared" si="33"/>
        <v>31213</v>
      </c>
      <c r="AR99" s="84">
        <f t="shared" si="33"/>
        <v>5640910</v>
      </c>
      <c r="AS99" s="84">
        <f t="shared" si="33"/>
        <v>7699354</v>
      </c>
      <c r="AT99" s="84">
        <f t="shared" si="33"/>
        <v>0</v>
      </c>
      <c r="AU99" s="84">
        <f t="shared" si="33"/>
        <v>0</v>
      </c>
      <c r="AV99" s="84">
        <f t="shared" si="33"/>
        <v>82858</v>
      </c>
      <c r="AW99" s="84">
        <f t="shared" si="33"/>
        <v>-1541324</v>
      </c>
      <c r="AX99" s="84">
        <f t="shared" si="29"/>
        <v>4538136</v>
      </c>
      <c r="AY99" s="84">
        <f t="shared" si="29"/>
        <v>10545051</v>
      </c>
      <c r="AZ99" s="84">
        <f t="shared" si="33"/>
        <v>1013</v>
      </c>
      <c r="BA99" s="84">
        <f t="shared" si="33"/>
        <v>3126</v>
      </c>
      <c r="BB99" s="84">
        <f t="shared" si="33"/>
        <v>4350112</v>
      </c>
      <c r="BC99" s="84">
        <f t="shared" si="33"/>
        <v>9270397</v>
      </c>
      <c r="BD99" s="84">
        <f t="shared" si="33"/>
        <v>121476</v>
      </c>
      <c r="BE99" s="84">
        <f t="shared" si="33"/>
        <v>3236165</v>
      </c>
      <c r="BF99" s="84">
        <f t="shared" si="33"/>
        <v>9670794</v>
      </c>
      <c r="BG99" s="84">
        <f t="shared" si="33"/>
        <v>17994556</v>
      </c>
      <c r="BH99" s="84">
        <f t="shared" si="33"/>
        <v>2673609</v>
      </c>
      <c r="BI99" s="84">
        <f t="shared" si="33"/>
        <v>1892717</v>
      </c>
      <c r="BJ99" s="84">
        <f t="shared" si="33"/>
        <v>1003721</v>
      </c>
      <c r="BK99" s="84">
        <f t="shared" si="33"/>
        <v>2976133</v>
      </c>
      <c r="BL99" s="84">
        <f t="shared" si="33"/>
        <v>85005</v>
      </c>
      <c r="BM99" s="84">
        <f t="shared" si="33"/>
        <v>1055027</v>
      </c>
      <c r="BN99" s="73">
        <f t="shared" si="19"/>
        <v>67356764.101861</v>
      </c>
      <c r="BO99" s="73">
        <f t="shared" si="20"/>
        <v>147372568.05489349</v>
      </c>
    </row>
    <row r="100" spans="1:67" x14ac:dyDescent="0.25">
      <c r="A100" s="21" t="s">
        <v>273</v>
      </c>
      <c r="B100" s="84">
        <f>B111-B89-B78-B67-B56-B45-B34-B23-B12</f>
        <v>0</v>
      </c>
      <c r="C100" s="84">
        <f t="shared" ref="C100:AG100" si="34">C111-C89-C78-C67-C56-C45-C34-C23-C12</f>
        <v>0</v>
      </c>
      <c r="D100" s="84">
        <f t="shared" si="34"/>
        <v>0</v>
      </c>
      <c r="E100" s="84">
        <f t="shared" si="34"/>
        <v>0</v>
      </c>
      <c r="F100" s="84">
        <f t="shared" si="34"/>
        <v>25908059</v>
      </c>
      <c r="G100" s="84">
        <f t="shared" si="34"/>
        <v>50553296</v>
      </c>
      <c r="H100" s="84">
        <f t="shared" si="34"/>
        <v>1073193</v>
      </c>
      <c r="I100" s="84">
        <f t="shared" si="34"/>
        <v>4434420</v>
      </c>
      <c r="J100" s="84">
        <f t="shared" si="34"/>
        <v>723174</v>
      </c>
      <c r="K100" s="84">
        <f t="shared" si="34"/>
        <v>971996</v>
      </c>
      <c r="L100" s="84">
        <f t="shared" si="34"/>
        <v>23819</v>
      </c>
      <c r="M100" s="84">
        <f t="shared" si="34"/>
        <v>69089</v>
      </c>
      <c r="N100" s="84">
        <f t="shared" si="34"/>
        <v>-248665.32</v>
      </c>
      <c r="O100" s="84">
        <f t="shared" si="34"/>
        <v>6762670.54</v>
      </c>
      <c r="P100" s="84">
        <f t="shared" si="34"/>
        <v>133</v>
      </c>
      <c r="Q100" s="84">
        <f t="shared" si="34"/>
        <v>275</v>
      </c>
      <c r="R100" s="84">
        <f t="shared" si="34"/>
        <v>669724</v>
      </c>
      <c r="S100" s="84">
        <f t="shared" si="34"/>
        <v>1291017</v>
      </c>
      <c r="T100" s="84">
        <f t="shared" si="34"/>
        <v>376155</v>
      </c>
      <c r="U100" s="84">
        <f t="shared" si="34"/>
        <v>579085</v>
      </c>
      <c r="V100" s="84">
        <f t="shared" si="34"/>
        <v>856361</v>
      </c>
      <c r="W100" s="84">
        <f t="shared" si="34"/>
        <v>3532385</v>
      </c>
      <c r="X100" s="84">
        <f t="shared" si="34"/>
        <v>353312</v>
      </c>
      <c r="Y100" s="84">
        <f t="shared" si="34"/>
        <v>1295211</v>
      </c>
      <c r="Z100" s="84">
        <f t="shared" si="34"/>
        <v>1432309</v>
      </c>
      <c r="AA100" s="84">
        <f t="shared" si="34"/>
        <v>2929400</v>
      </c>
      <c r="AB100" s="84">
        <f t="shared" si="34"/>
        <v>2724</v>
      </c>
      <c r="AC100" s="84">
        <f t="shared" si="34"/>
        <v>10464</v>
      </c>
      <c r="AD100" s="84">
        <f t="shared" si="34"/>
        <v>17979</v>
      </c>
      <c r="AE100" s="84">
        <f t="shared" si="34"/>
        <v>132081</v>
      </c>
      <c r="AF100" s="84">
        <f t="shared" si="34"/>
        <v>3619</v>
      </c>
      <c r="AG100" s="84">
        <f t="shared" si="34"/>
        <v>107405</v>
      </c>
      <c r="AH100" s="84">
        <f t="shared" ref="AH100:BM100" si="35">AH111-AH89-AH78-AH67-AH56-AH45-AH34-AH23-AH12</f>
        <v>0</v>
      </c>
      <c r="AI100" s="84">
        <f t="shared" si="35"/>
        <v>0</v>
      </c>
      <c r="AJ100" s="84">
        <f t="shared" si="35"/>
        <v>0</v>
      </c>
      <c r="AK100" s="84">
        <f t="shared" si="35"/>
        <v>3</v>
      </c>
      <c r="AL100" s="84">
        <f t="shared" si="35"/>
        <v>6032940.8634555629</v>
      </c>
      <c r="AM100" s="84">
        <f t="shared" si="35"/>
        <v>9452072.3532854766</v>
      </c>
      <c r="AN100" s="84">
        <f t="shared" si="35"/>
        <v>23432</v>
      </c>
      <c r="AO100" s="84">
        <f t="shared" si="35"/>
        <v>45813</v>
      </c>
      <c r="AP100" s="84">
        <f t="shared" si="35"/>
        <v>33190</v>
      </c>
      <c r="AQ100" s="84">
        <f t="shared" si="35"/>
        <v>137109</v>
      </c>
      <c r="AR100" s="84">
        <f t="shared" si="35"/>
        <v>1247238</v>
      </c>
      <c r="AS100" s="84">
        <f t="shared" si="35"/>
        <v>4157771</v>
      </c>
      <c r="AT100" s="84">
        <f t="shared" si="35"/>
        <v>0</v>
      </c>
      <c r="AU100" s="84">
        <f t="shared" si="35"/>
        <v>0</v>
      </c>
      <c r="AV100" s="84">
        <f t="shared" si="35"/>
        <v>281700</v>
      </c>
      <c r="AW100" s="84">
        <f t="shared" si="35"/>
        <v>-44087</v>
      </c>
      <c r="AX100" s="84">
        <f>AX111-AX89-AX78-AX67-AX56-AX45-AX34-AX23-AX12</f>
        <v>765868</v>
      </c>
      <c r="AY100" s="84">
        <f>AY111-AY89-AY78-AY67-AY56-AY45-AY34-AY23-AY12</f>
        <v>3955782</v>
      </c>
      <c r="AZ100" s="84">
        <f t="shared" si="35"/>
        <v>11781</v>
      </c>
      <c r="BA100" s="84">
        <f t="shared" si="35"/>
        <v>40713</v>
      </c>
      <c r="BB100" s="84">
        <f t="shared" si="35"/>
        <v>13448041</v>
      </c>
      <c r="BC100" s="84">
        <f t="shared" si="35"/>
        <v>29791042</v>
      </c>
      <c r="BD100" s="84">
        <f t="shared" si="35"/>
        <v>185912</v>
      </c>
      <c r="BE100" s="84">
        <f t="shared" si="35"/>
        <v>-85418</v>
      </c>
      <c r="BF100" s="84">
        <f t="shared" si="35"/>
        <v>5157224</v>
      </c>
      <c r="BG100" s="84">
        <f t="shared" si="35"/>
        <v>13015403</v>
      </c>
      <c r="BH100" s="84">
        <f t="shared" si="35"/>
        <v>4397434</v>
      </c>
      <c r="BI100" s="84">
        <f t="shared" si="35"/>
        <v>7881911</v>
      </c>
      <c r="BJ100" s="84">
        <f t="shared" si="35"/>
        <v>4928201</v>
      </c>
      <c r="BK100" s="84">
        <f t="shared" si="35"/>
        <v>6348053</v>
      </c>
      <c r="BL100" s="84">
        <f t="shared" si="35"/>
        <v>767257</v>
      </c>
      <c r="BM100" s="84">
        <f t="shared" si="35"/>
        <v>1219025</v>
      </c>
      <c r="BN100" s="73">
        <f t="shared" si="19"/>
        <v>68472114.543455571</v>
      </c>
      <c r="BO100" s="73">
        <f t="shared" si="20"/>
        <v>148583986.89328545</v>
      </c>
    </row>
    <row r="101" spans="1:67" x14ac:dyDescent="0.25">
      <c r="A101" s="13"/>
    </row>
    <row r="102" spans="1:67" x14ac:dyDescent="0.25">
      <c r="A102" s="28" t="s">
        <v>42</v>
      </c>
    </row>
    <row r="103" spans="1:67" x14ac:dyDescent="0.25">
      <c r="A103" s="3" t="s">
        <v>0</v>
      </c>
      <c r="B103" s="103" t="s">
        <v>1</v>
      </c>
      <c r="C103" s="104"/>
      <c r="D103" s="103" t="s">
        <v>282</v>
      </c>
      <c r="E103" s="104"/>
      <c r="F103" s="103" t="s">
        <v>2</v>
      </c>
      <c r="G103" s="104"/>
      <c r="H103" s="103" t="s">
        <v>3</v>
      </c>
      <c r="I103" s="104"/>
      <c r="J103" s="103" t="s">
        <v>4</v>
      </c>
      <c r="K103" s="104"/>
      <c r="L103" s="103" t="s">
        <v>283</v>
      </c>
      <c r="M103" s="104"/>
      <c r="N103" s="103" t="s">
        <v>6</v>
      </c>
      <c r="O103" s="104"/>
      <c r="P103" s="103" t="s">
        <v>5</v>
      </c>
      <c r="Q103" s="104"/>
      <c r="R103" s="103" t="s">
        <v>7</v>
      </c>
      <c r="S103" s="104"/>
      <c r="T103" s="103" t="s">
        <v>284</v>
      </c>
      <c r="U103" s="104"/>
      <c r="V103" s="103" t="s">
        <v>8</v>
      </c>
      <c r="W103" s="104"/>
      <c r="X103" s="103" t="s">
        <v>9</v>
      </c>
      <c r="Y103" s="104"/>
      <c r="Z103" s="103" t="s">
        <v>10</v>
      </c>
      <c r="AA103" s="104"/>
      <c r="AB103" s="103" t="s">
        <v>304</v>
      </c>
      <c r="AC103" s="104"/>
      <c r="AD103" s="103" t="s">
        <v>11</v>
      </c>
      <c r="AE103" s="104"/>
      <c r="AF103" s="103" t="s">
        <v>12</v>
      </c>
      <c r="AG103" s="104"/>
      <c r="AH103" s="103" t="s">
        <v>285</v>
      </c>
      <c r="AI103" s="104"/>
      <c r="AJ103" s="103" t="s">
        <v>290</v>
      </c>
      <c r="AK103" s="104"/>
      <c r="AL103" s="103" t="s">
        <v>13</v>
      </c>
      <c r="AM103" s="104"/>
      <c r="AN103" s="103" t="s">
        <v>286</v>
      </c>
      <c r="AO103" s="104"/>
      <c r="AP103" s="103" t="s">
        <v>287</v>
      </c>
      <c r="AQ103" s="104"/>
      <c r="AR103" s="103" t="s">
        <v>291</v>
      </c>
      <c r="AS103" s="104"/>
      <c r="AT103" s="103" t="s">
        <v>305</v>
      </c>
      <c r="AU103" s="104"/>
      <c r="AV103" s="103" t="s">
        <v>14</v>
      </c>
      <c r="AW103" s="104"/>
      <c r="AX103" s="103" t="s">
        <v>15</v>
      </c>
      <c r="AY103" s="104"/>
      <c r="AZ103" s="103" t="s">
        <v>16</v>
      </c>
      <c r="BA103" s="104"/>
      <c r="BB103" s="103" t="s">
        <v>17</v>
      </c>
      <c r="BC103" s="104"/>
      <c r="BD103" s="103" t="s">
        <v>18</v>
      </c>
      <c r="BE103" s="104"/>
      <c r="BF103" s="103" t="s">
        <v>288</v>
      </c>
      <c r="BG103" s="104"/>
      <c r="BH103" s="103" t="s">
        <v>289</v>
      </c>
      <c r="BI103" s="104"/>
      <c r="BJ103" s="103" t="s">
        <v>19</v>
      </c>
      <c r="BK103" s="104"/>
      <c r="BL103" s="103" t="s">
        <v>20</v>
      </c>
      <c r="BM103" s="104"/>
      <c r="BN103" s="105" t="s">
        <v>21</v>
      </c>
      <c r="BO103" s="106"/>
    </row>
    <row r="104" spans="1:67" ht="30" x14ac:dyDescent="0.25">
      <c r="A104" s="3"/>
      <c r="B104" s="57" t="s">
        <v>293</v>
      </c>
      <c r="C104" s="58" t="s">
        <v>294</v>
      </c>
      <c r="D104" s="57" t="s">
        <v>293</v>
      </c>
      <c r="E104" s="58" t="s">
        <v>294</v>
      </c>
      <c r="F104" s="57" t="s">
        <v>293</v>
      </c>
      <c r="G104" s="58" t="s">
        <v>294</v>
      </c>
      <c r="H104" s="57" t="s">
        <v>293</v>
      </c>
      <c r="I104" s="58" t="s">
        <v>294</v>
      </c>
      <c r="J104" s="57" t="s">
        <v>293</v>
      </c>
      <c r="K104" s="58" t="s">
        <v>294</v>
      </c>
      <c r="L104" s="57" t="s">
        <v>293</v>
      </c>
      <c r="M104" s="58" t="s">
        <v>294</v>
      </c>
      <c r="N104" s="57" t="s">
        <v>293</v>
      </c>
      <c r="O104" s="58" t="s">
        <v>294</v>
      </c>
      <c r="P104" s="57" t="s">
        <v>293</v>
      </c>
      <c r="Q104" s="58" t="s">
        <v>294</v>
      </c>
      <c r="R104" s="57" t="s">
        <v>293</v>
      </c>
      <c r="S104" s="58" t="s">
        <v>294</v>
      </c>
      <c r="T104" s="57" t="s">
        <v>293</v>
      </c>
      <c r="U104" s="58" t="s">
        <v>294</v>
      </c>
      <c r="V104" s="57" t="s">
        <v>293</v>
      </c>
      <c r="W104" s="58" t="s">
        <v>294</v>
      </c>
      <c r="X104" s="57" t="s">
        <v>293</v>
      </c>
      <c r="Y104" s="58" t="s">
        <v>294</v>
      </c>
      <c r="Z104" s="57" t="s">
        <v>293</v>
      </c>
      <c r="AA104" s="58" t="s">
        <v>294</v>
      </c>
      <c r="AB104" s="57" t="s">
        <v>293</v>
      </c>
      <c r="AC104" s="58" t="s">
        <v>294</v>
      </c>
      <c r="AD104" s="57" t="s">
        <v>293</v>
      </c>
      <c r="AE104" s="58" t="s">
        <v>294</v>
      </c>
      <c r="AF104" s="57" t="s">
        <v>293</v>
      </c>
      <c r="AG104" s="58" t="s">
        <v>294</v>
      </c>
      <c r="AH104" s="57" t="s">
        <v>293</v>
      </c>
      <c r="AI104" s="58" t="s">
        <v>294</v>
      </c>
      <c r="AJ104" s="57" t="s">
        <v>293</v>
      </c>
      <c r="AK104" s="58" t="s">
        <v>294</v>
      </c>
      <c r="AL104" s="57" t="s">
        <v>293</v>
      </c>
      <c r="AM104" s="58" t="s">
        <v>294</v>
      </c>
      <c r="AN104" s="57" t="s">
        <v>293</v>
      </c>
      <c r="AO104" s="58" t="s">
        <v>294</v>
      </c>
      <c r="AP104" s="57" t="s">
        <v>293</v>
      </c>
      <c r="AQ104" s="58" t="s">
        <v>294</v>
      </c>
      <c r="AR104" s="57" t="s">
        <v>293</v>
      </c>
      <c r="AS104" s="58" t="s">
        <v>294</v>
      </c>
      <c r="AT104" s="57" t="s">
        <v>293</v>
      </c>
      <c r="AU104" s="58" t="s">
        <v>294</v>
      </c>
      <c r="AV104" s="57" t="s">
        <v>293</v>
      </c>
      <c r="AW104" s="58" t="s">
        <v>294</v>
      </c>
      <c r="AX104" s="57" t="s">
        <v>293</v>
      </c>
      <c r="AY104" s="58" t="s">
        <v>294</v>
      </c>
      <c r="AZ104" s="57" t="s">
        <v>293</v>
      </c>
      <c r="BA104" s="58" t="s">
        <v>294</v>
      </c>
      <c r="BB104" s="57" t="s">
        <v>293</v>
      </c>
      <c r="BC104" s="58" t="s">
        <v>294</v>
      </c>
      <c r="BD104" s="57" t="s">
        <v>293</v>
      </c>
      <c r="BE104" s="58" t="s">
        <v>294</v>
      </c>
      <c r="BF104" s="57" t="s">
        <v>293</v>
      </c>
      <c r="BG104" s="58" t="s">
        <v>294</v>
      </c>
      <c r="BH104" s="57" t="s">
        <v>293</v>
      </c>
      <c r="BI104" s="58" t="s">
        <v>294</v>
      </c>
      <c r="BJ104" s="57" t="s">
        <v>293</v>
      </c>
      <c r="BK104" s="58" t="s">
        <v>294</v>
      </c>
      <c r="BL104" s="57" t="s">
        <v>293</v>
      </c>
      <c r="BM104" s="58" t="s">
        <v>294</v>
      </c>
      <c r="BN104" s="57" t="s">
        <v>293</v>
      </c>
      <c r="BO104" s="58" t="s">
        <v>294</v>
      </c>
    </row>
    <row r="105" spans="1:67" x14ac:dyDescent="0.25">
      <c r="A105" s="21" t="s">
        <v>228</v>
      </c>
      <c r="B105" s="84">
        <v>487163</v>
      </c>
      <c r="C105" s="84">
        <v>965887</v>
      </c>
      <c r="D105" s="84">
        <v>1299272</v>
      </c>
      <c r="E105" s="84">
        <v>2605225</v>
      </c>
      <c r="F105" s="84">
        <v>16606642</v>
      </c>
      <c r="G105" s="84">
        <v>71636110</v>
      </c>
      <c r="H105" s="84">
        <v>14434159</v>
      </c>
      <c r="I105" s="84">
        <v>44745953</v>
      </c>
      <c r="J105" s="84">
        <v>3775733</v>
      </c>
      <c r="K105" s="84">
        <v>7386389</v>
      </c>
      <c r="L105" s="84">
        <v>4964810</v>
      </c>
      <c r="M105" s="84">
        <v>10629286</v>
      </c>
      <c r="N105" s="84">
        <v>2509074.73</v>
      </c>
      <c r="O105" s="84">
        <v>6609380</v>
      </c>
      <c r="P105" s="84">
        <v>380567</v>
      </c>
      <c r="Q105" s="84">
        <v>760878</v>
      </c>
      <c r="R105" s="84">
        <v>4463905</v>
      </c>
      <c r="S105" s="84">
        <v>10883067</v>
      </c>
      <c r="T105" s="84">
        <v>1232226</v>
      </c>
      <c r="U105" s="84">
        <v>2584916</v>
      </c>
      <c r="V105" s="84">
        <v>16004017</v>
      </c>
      <c r="W105" s="84">
        <v>45613021</v>
      </c>
      <c r="X105" s="84">
        <v>23229167</v>
      </c>
      <c r="Y105" s="84">
        <v>63404697</v>
      </c>
      <c r="Z105" s="84">
        <v>17768561</v>
      </c>
      <c r="AA105" s="84">
        <v>39299735</v>
      </c>
      <c r="AB105" s="84">
        <v>507185</v>
      </c>
      <c r="AC105" s="84">
        <v>1119448</v>
      </c>
      <c r="AD105" s="84">
        <v>1900101</v>
      </c>
      <c r="AE105" s="84">
        <v>4459820</v>
      </c>
      <c r="AF105" s="84">
        <v>714950</v>
      </c>
      <c r="AG105" s="84">
        <v>1649307</v>
      </c>
      <c r="AH105" s="84">
        <v>1125182</v>
      </c>
      <c r="AI105" s="84">
        <v>2469797</v>
      </c>
      <c r="AJ105" s="84">
        <v>1638570</v>
      </c>
      <c r="AK105" s="84">
        <v>3631370</v>
      </c>
      <c r="AL105" s="84">
        <v>31586667.412000004</v>
      </c>
      <c r="AM105" s="84">
        <v>70376595.855000004</v>
      </c>
      <c r="AN105" s="84">
        <v>79151</v>
      </c>
      <c r="AO105" s="84">
        <v>220676</v>
      </c>
      <c r="AP105" s="84">
        <v>173554</v>
      </c>
      <c r="AQ105" s="84">
        <v>301283</v>
      </c>
      <c r="AR105" s="84">
        <v>13762570</v>
      </c>
      <c r="AS105" s="84">
        <v>27492731</v>
      </c>
      <c r="AT105" s="84">
        <v>2977300</v>
      </c>
      <c r="AU105" s="84">
        <v>6453313</v>
      </c>
      <c r="AV105" s="84">
        <v>3931912</v>
      </c>
      <c r="AW105" s="84">
        <v>11018839</v>
      </c>
      <c r="AX105" s="84">
        <v>10909946</v>
      </c>
      <c r="AY105" s="84">
        <v>25653113</v>
      </c>
      <c r="AZ105" s="84">
        <v>2139326</v>
      </c>
      <c r="BA105" s="84">
        <v>5010933</v>
      </c>
      <c r="BB105" s="84">
        <v>16395010</v>
      </c>
      <c r="BC105" s="84">
        <v>32945057</v>
      </c>
      <c r="BD105" s="84">
        <v>7668519</v>
      </c>
      <c r="BE105" s="84">
        <v>18478572</v>
      </c>
      <c r="BF105" s="84">
        <v>68966971</v>
      </c>
      <c r="BG105" s="84">
        <v>146662592</v>
      </c>
      <c r="BH105" s="84">
        <v>34056631</v>
      </c>
      <c r="BI105" s="84">
        <v>77825124</v>
      </c>
      <c r="BJ105" s="84">
        <v>32792381</v>
      </c>
      <c r="BK105" s="84">
        <v>86251422</v>
      </c>
      <c r="BL105" s="84">
        <v>2311250</v>
      </c>
      <c r="BM105" s="84">
        <v>6163227</v>
      </c>
      <c r="BN105" s="73">
        <f>SUM(B105+D105+F105+H105+J105+L105+N105+P105+R105+T105+V105+X105+Z105+AB105+AD105+AF105+AH105+AJ105+AL105+AN105+AP105+AR105+AT105+AV105+AX105+AZ105+BB105+BD105+BF105+BH105+BJ105+BL105)</f>
        <v>340792473.14199996</v>
      </c>
      <c r="BO105" s="73">
        <f>SUM(C105+E105+G105+I105+K105+M105+O105+Q105+S105+U105+W105+Y105+AA105+AC105+AE105+AG105+AI105+AK105+AM105+AO105+AQ105+AS105+AU105+AW105+AY105+BA105+BC105+BE105+BG105+BI105+BK105+BM105)</f>
        <v>835307763.85500002</v>
      </c>
    </row>
    <row r="106" spans="1:67" x14ac:dyDescent="0.25">
      <c r="A106" s="21" t="s">
        <v>279</v>
      </c>
      <c r="B106" s="84">
        <v>1080149</v>
      </c>
      <c r="C106" s="84">
        <v>1080149</v>
      </c>
      <c r="D106" s="84">
        <v>1414483</v>
      </c>
      <c r="E106" s="84">
        <v>1414483</v>
      </c>
      <c r="F106" s="84">
        <v>21733162</v>
      </c>
      <c r="G106" s="84">
        <v>62677419</v>
      </c>
      <c r="H106" s="84">
        <v>2607079</v>
      </c>
      <c r="I106" s="84">
        <v>99503885</v>
      </c>
      <c r="J106" s="84">
        <v>616355</v>
      </c>
      <c r="K106" s="84">
        <v>27172522</v>
      </c>
      <c r="L106" s="84">
        <v>62767963</v>
      </c>
      <c r="M106" s="84">
        <v>62767963</v>
      </c>
      <c r="N106" s="84">
        <v>-1858564.2</v>
      </c>
      <c r="O106" s="84">
        <v>69157848.890000001</v>
      </c>
      <c r="P106" s="84">
        <v>608600</v>
      </c>
      <c r="Q106" s="84">
        <v>608599</v>
      </c>
      <c r="R106" s="84">
        <v>26053525</v>
      </c>
      <c r="S106" s="84">
        <v>26053525</v>
      </c>
      <c r="T106" s="84">
        <v>16999451</v>
      </c>
      <c r="U106" s="84">
        <v>16999451</v>
      </c>
      <c r="V106" s="84">
        <v>106450588</v>
      </c>
      <c r="W106" s="84">
        <v>106450588</v>
      </c>
      <c r="X106" s="84">
        <v>185223155</v>
      </c>
      <c r="Y106" s="84">
        <v>185223155</v>
      </c>
      <c r="Z106" s="84">
        <v>1618633</v>
      </c>
      <c r="AA106" s="84">
        <v>62129840</v>
      </c>
      <c r="AB106" s="84">
        <v>3346344</v>
      </c>
      <c r="AC106" s="84">
        <v>3346344</v>
      </c>
      <c r="AD106" s="84">
        <v>12417898</v>
      </c>
      <c r="AE106" s="84">
        <v>12417897</v>
      </c>
      <c r="AF106" s="84">
        <v>22680800</v>
      </c>
      <c r="AG106" s="84">
        <v>22680800</v>
      </c>
      <c r="AH106" s="84">
        <v>928315</v>
      </c>
      <c r="AI106" s="84">
        <v>928315</v>
      </c>
      <c r="AJ106" s="84">
        <v>3381256</v>
      </c>
      <c r="AK106" s="84">
        <v>3381256</v>
      </c>
      <c r="AL106" s="84">
        <v>7748068.345969961</v>
      </c>
      <c r="AM106" s="84">
        <v>198083766.71829396</v>
      </c>
      <c r="AN106" s="84">
        <v>1118109</v>
      </c>
      <c r="AO106" s="84">
        <v>1118109</v>
      </c>
      <c r="AP106" s="84">
        <v>294139</v>
      </c>
      <c r="AQ106" s="84">
        <v>3041011</v>
      </c>
      <c r="AR106" s="84">
        <v>65197180</v>
      </c>
      <c r="AS106" s="84">
        <v>65197180</v>
      </c>
      <c r="AT106" s="84">
        <v>4801451</v>
      </c>
      <c r="AU106" s="84">
        <v>4801451</v>
      </c>
      <c r="AV106" s="84">
        <v>1631050</v>
      </c>
      <c r="AW106" s="84">
        <v>45554332</v>
      </c>
      <c r="AX106" s="84">
        <v>35750428</v>
      </c>
      <c r="AY106" s="84">
        <v>35750428</v>
      </c>
      <c r="AZ106" s="84">
        <v>71356403</v>
      </c>
      <c r="BA106" s="84">
        <v>71356403</v>
      </c>
      <c r="BB106" s="84">
        <v>11730305</v>
      </c>
      <c r="BC106" s="84">
        <v>11730305</v>
      </c>
      <c r="BD106" s="84">
        <v>66730638</v>
      </c>
      <c r="BE106" s="84">
        <v>66730638</v>
      </c>
      <c r="BF106" s="84">
        <v>351913947</v>
      </c>
      <c r="BG106" s="84">
        <v>351913947</v>
      </c>
      <c r="BH106" s="84">
        <v>4227867</v>
      </c>
      <c r="BI106" s="84">
        <v>197563183</v>
      </c>
      <c r="BJ106" s="84">
        <v>286059892</v>
      </c>
      <c r="BK106" s="84">
        <v>286059892</v>
      </c>
      <c r="BL106" s="84">
        <v>1795857</v>
      </c>
      <c r="BM106" s="84">
        <v>16932314</v>
      </c>
      <c r="BN106" s="73">
        <f t="shared" ref="BN106:BN111" si="36">SUM(B106+D106+F106+H106+J106+L106+N106+P106+R106+T106+V106+X106+Z106+AB106+AD106+AF106+AH106+AJ106+AL106+AN106+AP106+AR106+AT106+AV106+AX106+AZ106+BB106+BD106+BF106+BH106+BJ106+BL106)</f>
        <v>1378424526.1459699</v>
      </c>
      <c r="BO106" s="73">
        <f t="shared" ref="BO106:BO111" si="37">SUM(C106+E106+G106+I106+K106+M106+O106+Q106+S106+U106+W106+Y106+AA106+AC106+AE106+AG106+AI106+AK106+AM106+AO106+AQ106+AS106+AU106+AW106+AY106+BA106+BC106+BE106+BG106+BI106+BK106+BM106)</f>
        <v>2119826999.608294</v>
      </c>
    </row>
    <row r="107" spans="1:67" x14ac:dyDescent="0.25">
      <c r="A107" s="21" t="s">
        <v>278</v>
      </c>
      <c r="B107" s="84">
        <v>884555</v>
      </c>
      <c r="C107" s="84">
        <v>664304</v>
      </c>
      <c r="D107" s="84">
        <v>1372951</v>
      </c>
      <c r="E107" s="84">
        <v>799265</v>
      </c>
      <c r="F107" s="84"/>
      <c r="G107" s="84">
        <v>30548700</v>
      </c>
      <c r="H107" s="84"/>
      <c r="I107" s="84">
        <v>83580981</v>
      </c>
      <c r="J107" s="84"/>
      <c r="K107" s="84">
        <v>23851110</v>
      </c>
      <c r="L107" s="84">
        <v>60146792</v>
      </c>
      <c r="M107" s="84">
        <v>53480085</v>
      </c>
      <c r="N107" s="84"/>
      <c r="O107" s="84">
        <v>66741573.270000003</v>
      </c>
      <c r="P107" s="84">
        <v>479363</v>
      </c>
      <c r="Q107" s="84">
        <v>822666</v>
      </c>
      <c r="R107" s="84">
        <v>25049201</v>
      </c>
      <c r="S107" s="84">
        <v>21831254</v>
      </c>
      <c r="T107" s="84">
        <v>13979271</v>
      </c>
      <c r="U107" s="84">
        <v>9567801</v>
      </c>
      <c r="V107" s="84">
        <v>-100087613</v>
      </c>
      <c r="W107" s="84">
        <v>-87162908</v>
      </c>
      <c r="X107" s="84">
        <v>186194977</v>
      </c>
      <c r="Y107" s="84">
        <v>180073743</v>
      </c>
      <c r="Z107" s="84"/>
      <c r="AA107" s="84">
        <v>53183426</v>
      </c>
      <c r="AB107" s="84">
        <v>3047687</v>
      </c>
      <c r="AC107" s="84">
        <v>2388665</v>
      </c>
      <c r="AD107" s="84">
        <v>11734359</v>
      </c>
      <c r="AE107" s="84">
        <v>10562318</v>
      </c>
      <c r="AF107" s="84">
        <v>-21403800</v>
      </c>
      <c r="AG107" s="84">
        <v>-17972535</v>
      </c>
      <c r="AH107" s="84">
        <v>929971</v>
      </c>
      <c r="AI107" s="84">
        <v>675384</v>
      </c>
      <c r="AJ107" s="84">
        <v>2589718</v>
      </c>
      <c r="AK107" s="84">
        <v>1252365</v>
      </c>
      <c r="AL107" s="84">
        <v>-2.0000040531158447E-3</v>
      </c>
      <c r="AM107" s="84">
        <v>178732748.36699998</v>
      </c>
      <c r="AN107" s="84">
        <v>-1079608</v>
      </c>
      <c r="AO107" s="84">
        <v>-854041</v>
      </c>
      <c r="AP107" s="84"/>
      <c r="AQ107" s="84">
        <v>2195367</v>
      </c>
      <c r="AR107" s="84">
        <v>63700051</v>
      </c>
      <c r="AS107" s="84">
        <v>56841198</v>
      </c>
      <c r="AT107" s="84">
        <v>4432700</v>
      </c>
      <c r="AU107" s="84">
        <v>2625521</v>
      </c>
      <c r="AV107" s="84"/>
      <c r="AW107" s="84">
        <v>-42341818</v>
      </c>
      <c r="AX107" s="84">
        <v>35279473</v>
      </c>
      <c r="AY107" s="84">
        <v>29693796</v>
      </c>
      <c r="AZ107" s="84">
        <v>68712034</v>
      </c>
      <c r="BA107" s="84">
        <v>62731539</v>
      </c>
      <c r="BB107" s="84">
        <v>10327162</v>
      </c>
      <c r="BC107" s="84">
        <v>5613924</v>
      </c>
      <c r="BD107" s="84">
        <v>62962445</v>
      </c>
      <c r="BE107" s="84">
        <v>53564450</v>
      </c>
      <c r="BF107" s="84">
        <v>359135363</v>
      </c>
      <c r="BG107" s="84">
        <v>329819744</v>
      </c>
      <c r="BH107" s="84">
        <v>0</v>
      </c>
      <c r="BI107" s="84">
        <v>190513482</v>
      </c>
      <c r="BJ107" s="84">
        <v>279855906</v>
      </c>
      <c r="BK107" s="84">
        <v>265684703</v>
      </c>
      <c r="BL107" s="84"/>
      <c r="BM107" s="84">
        <v>12084521</v>
      </c>
      <c r="BN107" s="73">
        <f t="shared" si="36"/>
        <v>1068242957.998</v>
      </c>
      <c r="BO107" s="73">
        <f t="shared" si="37"/>
        <v>1581793331.6370001</v>
      </c>
    </row>
    <row r="108" spans="1:67" x14ac:dyDescent="0.25">
      <c r="A108" s="21" t="s">
        <v>281</v>
      </c>
      <c r="B108" s="84"/>
      <c r="C108" s="84"/>
      <c r="D108" s="84"/>
      <c r="E108" s="84"/>
      <c r="F108" s="84"/>
      <c r="G108" s="84"/>
      <c r="H108" s="84">
        <v>17041238</v>
      </c>
      <c r="I108" s="84">
        <v>60668857</v>
      </c>
      <c r="J108" s="84"/>
      <c r="K108" s="84"/>
      <c r="L108" s="84">
        <v>7585981</v>
      </c>
      <c r="M108" s="84">
        <v>19917164</v>
      </c>
      <c r="N108" s="84"/>
      <c r="O108" s="84"/>
      <c r="P108" s="84">
        <v>509804</v>
      </c>
      <c r="Q108" s="84">
        <v>546811</v>
      </c>
      <c r="R108" s="84"/>
      <c r="S108" s="84"/>
      <c r="T108" s="84"/>
      <c r="U108" s="84"/>
      <c r="V108" s="84">
        <v>22366992</v>
      </c>
      <c r="W108" s="84">
        <v>64900701</v>
      </c>
      <c r="X108" s="84">
        <v>22257345</v>
      </c>
      <c r="Y108" s="84">
        <v>68554109</v>
      </c>
      <c r="Z108" s="84">
        <v>19387194</v>
      </c>
      <c r="AA108" s="84">
        <v>48246149</v>
      </c>
      <c r="AB108" s="84">
        <v>805842</v>
      </c>
      <c r="AC108" s="84">
        <v>2077127</v>
      </c>
      <c r="AD108" s="84">
        <v>2583640</v>
      </c>
      <c r="AE108" s="84">
        <v>6315399</v>
      </c>
      <c r="AF108" s="84">
        <v>1991950</v>
      </c>
      <c r="AG108" s="84">
        <v>6357572</v>
      </c>
      <c r="AH108" s="84">
        <v>1123526</v>
      </c>
      <c r="AI108" s="84">
        <v>2722728</v>
      </c>
      <c r="AJ108" s="84">
        <v>2430107</v>
      </c>
      <c r="AK108" s="84">
        <v>5760261</v>
      </c>
      <c r="AL108" s="84"/>
      <c r="AM108" s="84"/>
      <c r="AN108" s="84">
        <v>117652</v>
      </c>
      <c r="AO108" s="84">
        <v>484744</v>
      </c>
      <c r="AP108" s="84">
        <v>467692</v>
      </c>
      <c r="AQ108" s="84">
        <v>1146927</v>
      </c>
      <c r="AR108" s="84"/>
      <c r="AS108" s="84"/>
      <c r="AT108" s="84">
        <v>3346051</v>
      </c>
      <c r="AU108" s="84">
        <v>8629243</v>
      </c>
      <c r="AV108" s="84">
        <v>5562962</v>
      </c>
      <c r="AW108" s="84">
        <v>14231353</v>
      </c>
      <c r="AX108" s="84"/>
      <c r="AY108" s="84"/>
      <c r="AZ108" s="84"/>
      <c r="BA108" s="84"/>
      <c r="BB108" s="84">
        <v>17798153</v>
      </c>
      <c r="BC108" s="84">
        <v>39061438</v>
      </c>
      <c r="BD108" s="84">
        <v>11436712</v>
      </c>
      <c r="BE108" s="84">
        <v>31644760</v>
      </c>
      <c r="BF108" s="84">
        <v>61745555</v>
      </c>
      <c r="BG108" s="84">
        <v>168756795</v>
      </c>
      <c r="BH108" s="84">
        <v>38284498</v>
      </c>
      <c r="BI108" s="84">
        <v>84874825</v>
      </c>
      <c r="BJ108" s="84">
        <v>38996367</v>
      </c>
      <c r="BK108" s="84">
        <v>106626611</v>
      </c>
      <c r="BL108" s="84">
        <v>4107107</v>
      </c>
      <c r="BM108" s="84">
        <v>11011020</v>
      </c>
      <c r="BN108" s="73">
        <f t="shared" si="36"/>
        <v>279946368</v>
      </c>
      <c r="BO108" s="73">
        <f t="shared" si="37"/>
        <v>752534594</v>
      </c>
    </row>
    <row r="109" spans="1:67" x14ac:dyDescent="0.25">
      <c r="A109" s="21" t="s">
        <v>276</v>
      </c>
      <c r="B109" s="84"/>
      <c r="C109" s="84"/>
      <c r="D109" s="84"/>
      <c r="E109" s="84"/>
      <c r="F109" s="84"/>
      <c r="G109" s="84">
        <v>-8070</v>
      </c>
      <c r="H109" s="84">
        <v>123991</v>
      </c>
      <c r="I109" s="84">
        <v>172863</v>
      </c>
      <c r="J109" s="84">
        <v>85562</v>
      </c>
      <c r="K109" s="84">
        <v>154193</v>
      </c>
      <c r="L109" s="84">
        <v>733</v>
      </c>
      <c r="M109" s="84">
        <v>808</v>
      </c>
      <c r="N109" s="84"/>
      <c r="O109" s="84"/>
      <c r="P109" s="84">
        <v>43658</v>
      </c>
      <c r="Q109" s="84">
        <v>68227</v>
      </c>
      <c r="R109" s="84">
        <v>19355</v>
      </c>
      <c r="S109" s="84">
        <v>174029</v>
      </c>
      <c r="T109" s="84">
        <v>151278</v>
      </c>
      <c r="U109" s="84">
        <v>858728</v>
      </c>
      <c r="V109" s="84">
        <v>101038</v>
      </c>
      <c r="W109" s="84">
        <v>203278</v>
      </c>
      <c r="X109" s="84">
        <v>385474</v>
      </c>
      <c r="Y109" s="84">
        <v>1202145</v>
      </c>
      <c r="Z109" s="84">
        <v>111618</v>
      </c>
      <c r="AA109" s="84">
        <v>227117</v>
      </c>
      <c r="AB109" s="84">
        <v>187</v>
      </c>
      <c r="AC109" s="84">
        <v>206</v>
      </c>
      <c r="AD109" s="84">
        <v>390</v>
      </c>
      <c r="AE109" s="84">
        <v>430</v>
      </c>
      <c r="AF109" s="84">
        <v>51944</v>
      </c>
      <c r="AG109" s="84">
        <v>198479</v>
      </c>
      <c r="AH109" s="84"/>
      <c r="AI109" s="84"/>
      <c r="AJ109" s="84"/>
      <c r="AK109" s="84"/>
      <c r="AL109" s="84">
        <v>280490.01800000004</v>
      </c>
      <c r="AM109" s="84">
        <v>1132149.8119999999</v>
      </c>
      <c r="AN109" s="84">
        <v>38</v>
      </c>
      <c r="AO109" s="84">
        <v>41</v>
      </c>
      <c r="AP109" s="84">
        <v>1693</v>
      </c>
      <c r="AQ109" s="84">
        <v>4909</v>
      </c>
      <c r="AR109" s="84">
        <v>48308</v>
      </c>
      <c r="AS109" s="84">
        <v>169774</v>
      </c>
      <c r="AT109" s="84">
        <v>97549</v>
      </c>
      <c r="AU109" s="84">
        <v>168068</v>
      </c>
      <c r="AV109" s="84">
        <v>71016</v>
      </c>
      <c r="AW109" s="84">
        <v>111925</v>
      </c>
      <c r="AX109" s="84">
        <v>293</v>
      </c>
      <c r="AY109" s="84">
        <v>690092</v>
      </c>
      <c r="AZ109" s="84">
        <v>375</v>
      </c>
      <c r="BA109" s="84">
        <v>476</v>
      </c>
      <c r="BB109" s="84"/>
      <c r="BC109" s="84"/>
      <c r="BD109" s="84">
        <v>65091</v>
      </c>
      <c r="BE109" s="84">
        <v>602438</v>
      </c>
      <c r="BF109" s="84">
        <v>3227380</v>
      </c>
      <c r="BG109" s="84">
        <v>9652186</v>
      </c>
      <c r="BH109" s="84">
        <v>328430</v>
      </c>
      <c r="BI109" s="84">
        <v>1857025</v>
      </c>
      <c r="BJ109" s="84">
        <v>34337</v>
      </c>
      <c r="BK109" s="84">
        <v>155856</v>
      </c>
      <c r="BL109" s="84">
        <v>187</v>
      </c>
      <c r="BM109" s="84">
        <v>207</v>
      </c>
      <c r="BN109" s="73">
        <f t="shared" si="36"/>
        <v>5230415.0180000002</v>
      </c>
      <c r="BO109" s="73">
        <f t="shared" si="37"/>
        <v>17797579.811999999</v>
      </c>
    </row>
    <row r="110" spans="1:67" x14ac:dyDescent="0.25">
      <c r="A110" s="21" t="s">
        <v>277</v>
      </c>
      <c r="B110" s="84">
        <v>196390</v>
      </c>
      <c r="C110" s="84">
        <v>440199</v>
      </c>
      <c r="D110" s="84">
        <v>299176</v>
      </c>
      <c r="E110" s="84">
        <v>552552</v>
      </c>
      <c r="F110" s="84">
        <v>21437976</v>
      </c>
      <c r="G110" s="84">
        <v>46427864</v>
      </c>
      <c r="H110" s="84">
        <v>4917764</v>
      </c>
      <c r="I110" s="84">
        <v>21474539</v>
      </c>
      <c r="J110" s="84">
        <v>1075620</v>
      </c>
      <c r="K110" s="84">
        <v>1618206</v>
      </c>
      <c r="L110" s="84">
        <v>1093518</v>
      </c>
      <c r="M110" s="84">
        <v>2615504</v>
      </c>
      <c r="N110" s="84">
        <v>709974.65</v>
      </c>
      <c r="O110" s="84">
        <v>1830573.28</v>
      </c>
      <c r="P110" s="84">
        <v>79308</v>
      </c>
      <c r="Q110" s="84">
        <v>-621974</v>
      </c>
      <c r="R110" s="84">
        <v>1267308</v>
      </c>
      <c r="S110" s="84">
        <v>4313290</v>
      </c>
      <c r="T110" s="84">
        <v>325402</v>
      </c>
      <c r="U110" s="84">
        <v>953854</v>
      </c>
      <c r="V110" s="84">
        <f>-5028564-45908067+41199941</f>
        <v>-9736690</v>
      </c>
      <c r="W110" s="84">
        <f>-22203166-45908067+39601029</f>
        <v>-28510204</v>
      </c>
      <c r="X110" s="84">
        <v>7769186</v>
      </c>
      <c r="Y110" s="84">
        <v>25945541</v>
      </c>
      <c r="Z110" s="84">
        <v>7789811</v>
      </c>
      <c r="AA110" s="84">
        <v>17982654</v>
      </c>
      <c r="AB110" s="84">
        <v>66875</v>
      </c>
      <c r="AC110" s="84">
        <v>245366</v>
      </c>
      <c r="AD110" s="84">
        <v>164126</v>
      </c>
      <c r="AE110" s="84">
        <v>465668</v>
      </c>
      <c r="AF110" s="84">
        <v>-409491</v>
      </c>
      <c r="AG110" s="84">
        <v>-1076593</v>
      </c>
      <c r="AH110" s="84">
        <v>56261</v>
      </c>
      <c r="AI110" s="84">
        <v>123529</v>
      </c>
      <c r="AJ110" s="84">
        <v>501921</v>
      </c>
      <c r="AK110" s="84">
        <v>1193153</v>
      </c>
      <c r="AL110" s="84">
        <v>9594403.2325609997</v>
      </c>
      <c r="AM110" s="84">
        <v>21182263.361943498</v>
      </c>
      <c r="AN110" s="84">
        <v>-7289</v>
      </c>
      <c r="AO110" s="84">
        <v>-20635</v>
      </c>
      <c r="AP110" s="84">
        <v>37312</v>
      </c>
      <c r="AQ110" s="84">
        <v>47378</v>
      </c>
      <c r="AR110" s="84">
        <v>7472687</v>
      </c>
      <c r="AS110" s="84">
        <v>13869461</v>
      </c>
      <c r="AT110" s="84">
        <v>792533</v>
      </c>
      <c r="AU110" s="84">
        <v>1667454</v>
      </c>
      <c r="AV110" s="84">
        <v>-979529</v>
      </c>
      <c r="AW110" s="84">
        <v>-3951983</v>
      </c>
      <c r="AX110" s="84">
        <v>5644545</v>
      </c>
      <c r="AY110" s="84">
        <v>12995338</v>
      </c>
      <c r="AZ110" s="84">
        <v>177786</v>
      </c>
      <c r="BA110" s="84">
        <v>541435</v>
      </c>
      <c r="BB110" s="84">
        <v>4350112</v>
      </c>
      <c r="BC110" s="84">
        <v>9270397</v>
      </c>
      <c r="BD110" s="84">
        <v>2576474</v>
      </c>
      <c r="BE110" s="84">
        <v>7207184</v>
      </c>
      <c r="BF110" s="84">
        <v>17624396</v>
      </c>
      <c r="BG110" s="84">
        <v>34545932</v>
      </c>
      <c r="BH110" s="84">
        <v>6793201</v>
      </c>
      <c r="BI110" s="84">
        <v>11350295</v>
      </c>
      <c r="BJ110" s="84">
        <v>2456289</v>
      </c>
      <c r="BK110" s="84">
        <v>17765129</v>
      </c>
      <c r="BL110" s="84">
        <v>293893</v>
      </c>
      <c r="BM110" s="84">
        <v>1659886</v>
      </c>
      <c r="BN110" s="73">
        <f t="shared" si="36"/>
        <v>94431248.882560998</v>
      </c>
      <c r="BO110" s="73">
        <f t="shared" si="37"/>
        <v>224103255.64194351</v>
      </c>
    </row>
    <row r="111" spans="1:67" x14ac:dyDescent="0.25">
      <c r="A111" s="21" t="s">
        <v>273</v>
      </c>
      <c r="B111" s="84">
        <v>486367</v>
      </c>
      <c r="C111" s="84">
        <v>941533</v>
      </c>
      <c r="D111" s="84">
        <v>1041628</v>
      </c>
      <c r="E111" s="84">
        <v>2667891</v>
      </c>
      <c r="F111" s="84">
        <v>25908059</v>
      </c>
      <c r="G111" s="84">
        <v>50553296</v>
      </c>
      <c r="H111" s="84">
        <v>12247465</v>
      </c>
      <c r="I111" s="84">
        <v>39367181</v>
      </c>
      <c r="J111" s="84">
        <v>3402030</v>
      </c>
      <c r="K111" s="84">
        <v>9243790</v>
      </c>
      <c r="L111" s="84">
        <v>6493196</v>
      </c>
      <c r="M111" s="84">
        <v>17302468</v>
      </c>
      <c r="N111" s="84">
        <v>-248665.32</v>
      </c>
      <c r="O111" s="84">
        <v>6762670.54</v>
      </c>
      <c r="P111" s="84">
        <v>474154</v>
      </c>
      <c r="Q111" s="84">
        <v>1237012</v>
      </c>
      <c r="R111" s="84">
        <v>4220276</v>
      </c>
      <c r="S111" s="84">
        <v>10966077</v>
      </c>
      <c r="T111" s="84">
        <v>4078282</v>
      </c>
      <c r="U111" s="84">
        <v>9921440</v>
      </c>
      <c r="V111" s="84">
        <v>12731341</v>
      </c>
      <c r="W111" s="84">
        <v>36593776</v>
      </c>
      <c r="X111" s="84">
        <v>17204680</v>
      </c>
      <c r="Y111" s="84">
        <v>49958985</v>
      </c>
      <c r="Z111" s="84">
        <v>11709001</v>
      </c>
      <c r="AA111" s="84">
        <v>30490612</v>
      </c>
      <c r="AB111" s="84">
        <v>739154</v>
      </c>
      <c r="AC111" s="84">
        <v>1831967</v>
      </c>
      <c r="AD111" s="84">
        <v>2374151</v>
      </c>
      <c r="AE111" s="84">
        <v>5827992</v>
      </c>
      <c r="AF111" s="84">
        <v>1487914</v>
      </c>
      <c r="AG111" s="84">
        <v>4567390</v>
      </c>
      <c r="AH111" s="84">
        <v>1067266</v>
      </c>
      <c r="AI111" s="84">
        <v>2599199</v>
      </c>
      <c r="AJ111" s="84">
        <v>1928186</v>
      </c>
      <c r="AK111" s="84">
        <v>4567110</v>
      </c>
      <c r="AL111" s="84">
        <v>30020822.545408968</v>
      </c>
      <c r="AM111" s="84">
        <v>69677500.656350493</v>
      </c>
      <c r="AN111" s="84">
        <v>123431</v>
      </c>
      <c r="AO111" s="84">
        <v>444379</v>
      </c>
      <c r="AP111" s="84">
        <v>432073</v>
      </c>
      <c r="AQ111" s="84">
        <v>1104458</v>
      </c>
      <c r="AR111" s="84">
        <v>7835320</v>
      </c>
      <c r="AS111" s="84">
        <v>22149026</v>
      </c>
      <c r="AT111" s="84">
        <v>2651067</v>
      </c>
      <c r="AU111" s="84">
        <v>7129857</v>
      </c>
      <c r="AV111" s="84">
        <v>4785374</v>
      </c>
      <c r="AW111" s="84">
        <v>12418243</v>
      </c>
      <c r="AX111" s="84">
        <v>5736649</v>
      </c>
      <c r="AY111" s="84">
        <v>19404499</v>
      </c>
      <c r="AZ111" s="84">
        <v>4606284</v>
      </c>
      <c r="BA111" s="84">
        <v>13094838</v>
      </c>
      <c r="BB111" s="84">
        <v>13448041</v>
      </c>
      <c r="BC111" s="84">
        <v>29791042</v>
      </c>
      <c r="BD111" s="84">
        <v>8925329</v>
      </c>
      <c r="BE111" s="84">
        <v>25040014</v>
      </c>
      <c r="BF111" s="84">
        <v>57664030</v>
      </c>
      <c r="BG111" s="84">
        <v>152932012</v>
      </c>
      <c r="BH111" s="84">
        <v>31819727</v>
      </c>
      <c r="BI111" s="84">
        <v>75381555</v>
      </c>
      <c r="BJ111" s="84">
        <v>36574415</v>
      </c>
      <c r="BK111" s="84">
        <v>89017338</v>
      </c>
      <c r="BL111" s="84">
        <v>3813401</v>
      </c>
      <c r="BM111" s="84">
        <v>9351341</v>
      </c>
      <c r="BN111" s="73">
        <f t="shared" si="36"/>
        <v>315780448.22540897</v>
      </c>
      <c r="BO111" s="73">
        <f t="shared" si="37"/>
        <v>812336492.19635057</v>
      </c>
    </row>
  </sheetData>
  <mergeCells count="330">
    <mergeCell ref="BN103:BO103"/>
    <mergeCell ref="AT103:AU103"/>
    <mergeCell ref="AV103:AW103"/>
    <mergeCell ref="AX103:AY103"/>
    <mergeCell ref="AZ103:BA103"/>
    <mergeCell ref="BB103:BC103"/>
    <mergeCell ref="BD103:BE103"/>
    <mergeCell ref="Z103:AA103"/>
    <mergeCell ref="AB103:AC103"/>
    <mergeCell ref="AD103:AE103"/>
    <mergeCell ref="AF103:AG103"/>
    <mergeCell ref="BF103:BG103"/>
    <mergeCell ref="BH103:BI103"/>
    <mergeCell ref="BJ103:BK103"/>
    <mergeCell ref="BL103:BM103"/>
    <mergeCell ref="L103:M103"/>
    <mergeCell ref="N103:O103"/>
    <mergeCell ref="P103:Q103"/>
    <mergeCell ref="R103:S103"/>
    <mergeCell ref="T103:U103"/>
    <mergeCell ref="V103:W103"/>
    <mergeCell ref="BH92:BI92"/>
    <mergeCell ref="BJ92:BK92"/>
    <mergeCell ref="BL92:BM92"/>
    <mergeCell ref="AH92:AI92"/>
    <mergeCell ref="N92:O92"/>
    <mergeCell ref="P92:Q92"/>
    <mergeCell ref="R92:S92"/>
    <mergeCell ref="T92:U92"/>
    <mergeCell ref="V92:W92"/>
    <mergeCell ref="AH103:AI103"/>
    <mergeCell ref="AJ103:AK103"/>
    <mergeCell ref="AL103:AM103"/>
    <mergeCell ref="AN103:AO103"/>
    <mergeCell ref="AP103:AQ103"/>
    <mergeCell ref="AR103:AS103"/>
    <mergeCell ref="X103:Y103"/>
    <mergeCell ref="BN92:BO92"/>
    <mergeCell ref="B103:C103"/>
    <mergeCell ref="D103:E103"/>
    <mergeCell ref="F103:G103"/>
    <mergeCell ref="H103:I103"/>
    <mergeCell ref="J103:K103"/>
    <mergeCell ref="AV92:AW92"/>
    <mergeCell ref="AX92:AY92"/>
    <mergeCell ref="AZ92:BA92"/>
    <mergeCell ref="BB92:BC92"/>
    <mergeCell ref="BD92:BE92"/>
    <mergeCell ref="BF92:BG92"/>
    <mergeCell ref="AJ92:AK92"/>
    <mergeCell ref="AL92:AM92"/>
    <mergeCell ref="AN92:AO92"/>
    <mergeCell ref="AP92:AQ92"/>
    <mergeCell ref="AR92:AS92"/>
    <mergeCell ref="AT92:AU92"/>
    <mergeCell ref="X92:Y92"/>
    <mergeCell ref="Z92:AA92"/>
    <mergeCell ref="AB92:AC92"/>
    <mergeCell ref="AD92:AE92"/>
    <mergeCell ref="AF92:AG92"/>
    <mergeCell ref="B92:C92"/>
    <mergeCell ref="D92:E92"/>
    <mergeCell ref="F92:G92"/>
    <mergeCell ref="H92:I92"/>
    <mergeCell ref="J92:K92"/>
    <mergeCell ref="L92:M92"/>
    <mergeCell ref="BF81:BG81"/>
    <mergeCell ref="BH81:BI81"/>
    <mergeCell ref="BJ81:BK81"/>
    <mergeCell ref="AH81:AI81"/>
    <mergeCell ref="AJ81:AK81"/>
    <mergeCell ref="AL81:AM81"/>
    <mergeCell ref="AN81:AO81"/>
    <mergeCell ref="AP81:AQ81"/>
    <mergeCell ref="AR81:AS81"/>
    <mergeCell ref="X81:Y81"/>
    <mergeCell ref="Z81:AA81"/>
    <mergeCell ref="AB81:AC81"/>
    <mergeCell ref="AD81:AE81"/>
    <mergeCell ref="AF81:AG81"/>
    <mergeCell ref="L81:M81"/>
    <mergeCell ref="N81:O81"/>
    <mergeCell ref="P81:Q81"/>
    <mergeCell ref="AT81:AU81"/>
    <mergeCell ref="AV81:AW81"/>
    <mergeCell ref="AX81:AY81"/>
    <mergeCell ref="AZ81:BA81"/>
    <mergeCell ref="BB81:BC81"/>
    <mergeCell ref="BD81:BE81"/>
    <mergeCell ref="R81:S81"/>
    <mergeCell ref="T81:U81"/>
    <mergeCell ref="V81:W81"/>
    <mergeCell ref="BL70:BM70"/>
    <mergeCell ref="BN70:BO70"/>
    <mergeCell ref="BD70:BE70"/>
    <mergeCell ref="BF70:BG70"/>
    <mergeCell ref="BL81:BM81"/>
    <mergeCell ref="BN81:BO81"/>
    <mergeCell ref="V70:W70"/>
    <mergeCell ref="BH70:BI70"/>
    <mergeCell ref="BJ70:BK70"/>
    <mergeCell ref="B81:C81"/>
    <mergeCell ref="D81:E81"/>
    <mergeCell ref="F81:G81"/>
    <mergeCell ref="H81:I81"/>
    <mergeCell ref="J81:K81"/>
    <mergeCell ref="AV70:AW70"/>
    <mergeCell ref="AX70:AY70"/>
    <mergeCell ref="AZ70:BA70"/>
    <mergeCell ref="BB70:BC70"/>
    <mergeCell ref="AJ70:AK70"/>
    <mergeCell ref="AL70:AM70"/>
    <mergeCell ref="AN70:AO70"/>
    <mergeCell ref="AP70:AQ70"/>
    <mergeCell ref="AR70:AS70"/>
    <mergeCell ref="AT70:AU70"/>
    <mergeCell ref="X70:Y70"/>
    <mergeCell ref="Z70:AA70"/>
    <mergeCell ref="AB70:AC70"/>
    <mergeCell ref="AF70:AG70"/>
    <mergeCell ref="AH70:AI70"/>
    <mergeCell ref="N70:O70"/>
    <mergeCell ref="P70:Q70"/>
    <mergeCell ref="R70:S70"/>
    <mergeCell ref="T70:U70"/>
    <mergeCell ref="B70:C70"/>
    <mergeCell ref="D70:E70"/>
    <mergeCell ref="F70:G70"/>
    <mergeCell ref="H70:I70"/>
    <mergeCell ref="J70:K70"/>
    <mergeCell ref="L70:M70"/>
    <mergeCell ref="BF59:BG59"/>
    <mergeCell ref="BH59:BI59"/>
    <mergeCell ref="BJ59:BK59"/>
    <mergeCell ref="AH59:AI59"/>
    <mergeCell ref="AJ59:AK59"/>
    <mergeCell ref="AL59:AM59"/>
    <mergeCell ref="AN59:AO59"/>
    <mergeCell ref="AP59:AQ59"/>
    <mergeCell ref="AR59:AS59"/>
    <mergeCell ref="X59:Y59"/>
    <mergeCell ref="Z59:AA59"/>
    <mergeCell ref="AB59:AC59"/>
    <mergeCell ref="AD59:AE59"/>
    <mergeCell ref="AF59:AG59"/>
    <mergeCell ref="L59:M59"/>
    <mergeCell ref="N59:O59"/>
    <mergeCell ref="P59:Q59"/>
    <mergeCell ref="AD70:AE70"/>
    <mergeCell ref="AT59:AU59"/>
    <mergeCell ref="AV59:AW59"/>
    <mergeCell ref="AX59:AY59"/>
    <mergeCell ref="AZ59:BA59"/>
    <mergeCell ref="BB59:BC59"/>
    <mergeCell ref="BD59:BE59"/>
    <mergeCell ref="R59:S59"/>
    <mergeCell ref="T59:U59"/>
    <mergeCell ref="V59:W59"/>
    <mergeCell ref="BL48:BM48"/>
    <mergeCell ref="BN48:BO48"/>
    <mergeCell ref="B59:C59"/>
    <mergeCell ref="D59:E59"/>
    <mergeCell ref="F59:G59"/>
    <mergeCell ref="H59:I59"/>
    <mergeCell ref="J59:K59"/>
    <mergeCell ref="AV48:AW48"/>
    <mergeCell ref="AX48:AY48"/>
    <mergeCell ref="AZ48:BA48"/>
    <mergeCell ref="BB48:BC48"/>
    <mergeCell ref="BD48:BE48"/>
    <mergeCell ref="BF48:BG48"/>
    <mergeCell ref="AJ48:AK48"/>
    <mergeCell ref="AL48:AM48"/>
    <mergeCell ref="AN48:AO48"/>
    <mergeCell ref="AP48:AQ48"/>
    <mergeCell ref="AR48:AS48"/>
    <mergeCell ref="AT48:AU48"/>
    <mergeCell ref="X48:Y48"/>
    <mergeCell ref="Z48:AA48"/>
    <mergeCell ref="AB48:AC48"/>
    <mergeCell ref="BL59:BM59"/>
    <mergeCell ref="BN59:BO59"/>
    <mergeCell ref="AF48:AG48"/>
    <mergeCell ref="AH48:AI48"/>
    <mergeCell ref="N48:O48"/>
    <mergeCell ref="P48:Q48"/>
    <mergeCell ref="R48:S48"/>
    <mergeCell ref="T48:U48"/>
    <mergeCell ref="V48:W48"/>
    <mergeCell ref="BH48:BI48"/>
    <mergeCell ref="BJ48:BK48"/>
    <mergeCell ref="B48:C48"/>
    <mergeCell ref="D48:E48"/>
    <mergeCell ref="F48:G48"/>
    <mergeCell ref="H48:I48"/>
    <mergeCell ref="J48:K48"/>
    <mergeCell ref="L48:M48"/>
    <mergeCell ref="BF37:BG37"/>
    <mergeCell ref="BH37:BI37"/>
    <mergeCell ref="BJ37:BK37"/>
    <mergeCell ref="AH37:AI37"/>
    <mergeCell ref="AJ37:AK37"/>
    <mergeCell ref="AL37:AM37"/>
    <mergeCell ref="AN37:AO37"/>
    <mergeCell ref="AP37:AQ37"/>
    <mergeCell ref="AR37:AS37"/>
    <mergeCell ref="X37:Y37"/>
    <mergeCell ref="Z37:AA37"/>
    <mergeCell ref="AB37:AC37"/>
    <mergeCell ref="AD37:AE37"/>
    <mergeCell ref="AF37:AG37"/>
    <mergeCell ref="L37:M37"/>
    <mergeCell ref="N37:O37"/>
    <mergeCell ref="P37:Q37"/>
    <mergeCell ref="AD48:AE48"/>
    <mergeCell ref="AT37:AU37"/>
    <mergeCell ref="AV37:AW37"/>
    <mergeCell ref="AX37:AY37"/>
    <mergeCell ref="AZ37:BA37"/>
    <mergeCell ref="BB37:BC37"/>
    <mergeCell ref="BD37:BE37"/>
    <mergeCell ref="R37:S37"/>
    <mergeCell ref="T37:U37"/>
    <mergeCell ref="V37:W37"/>
    <mergeCell ref="BL26:BM26"/>
    <mergeCell ref="BN26:BO26"/>
    <mergeCell ref="B37:C37"/>
    <mergeCell ref="D37:E37"/>
    <mergeCell ref="F37:G37"/>
    <mergeCell ref="H37:I37"/>
    <mergeCell ref="J37:K37"/>
    <mergeCell ref="AV26:AW26"/>
    <mergeCell ref="AX26:AY26"/>
    <mergeCell ref="AZ26:BA26"/>
    <mergeCell ref="BB26:BC26"/>
    <mergeCell ref="BD26:BE26"/>
    <mergeCell ref="BF26:BG26"/>
    <mergeCell ref="AJ26:AK26"/>
    <mergeCell ref="AL26:AM26"/>
    <mergeCell ref="AN26:AO26"/>
    <mergeCell ref="AP26:AQ26"/>
    <mergeCell ref="AR26:AS26"/>
    <mergeCell ref="AT26:AU26"/>
    <mergeCell ref="X26:Y26"/>
    <mergeCell ref="Z26:AA26"/>
    <mergeCell ref="AB26:AC26"/>
    <mergeCell ref="BL37:BM37"/>
    <mergeCell ref="BN37:BO37"/>
    <mergeCell ref="AF26:AG26"/>
    <mergeCell ref="AH26:AI26"/>
    <mergeCell ref="N26:O26"/>
    <mergeCell ref="P26:Q26"/>
    <mergeCell ref="R26:S26"/>
    <mergeCell ref="T26:U26"/>
    <mergeCell ref="V26:W26"/>
    <mergeCell ref="BH26:BI26"/>
    <mergeCell ref="BJ26:BK26"/>
    <mergeCell ref="B26:C26"/>
    <mergeCell ref="D26:E26"/>
    <mergeCell ref="F26:G26"/>
    <mergeCell ref="H26:I26"/>
    <mergeCell ref="J26:K26"/>
    <mergeCell ref="L26:M26"/>
    <mergeCell ref="BF15:BG15"/>
    <mergeCell ref="BH15:BI15"/>
    <mergeCell ref="BJ15:BK15"/>
    <mergeCell ref="AH15:AI15"/>
    <mergeCell ref="AJ15:AK15"/>
    <mergeCell ref="AL15:AM15"/>
    <mergeCell ref="AN15:AO15"/>
    <mergeCell ref="AP15:AQ15"/>
    <mergeCell ref="AR15:AS15"/>
    <mergeCell ref="X15:Y15"/>
    <mergeCell ref="Z15:AA15"/>
    <mergeCell ref="AB15:AC15"/>
    <mergeCell ref="AD15:AE15"/>
    <mergeCell ref="AF15:AG15"/>
    <mergeCell ref="L15:M15"/>
    <mergeCell ref="N15:O15"/>
    <mergeCell ref="P15:Q15"/>
    <mergeCell ref="AD26:AE26"/>
    <mergeCell ref="BL15:BM15"/>
    <mergeCell ref="BN15:BO15"/>
    <mergeCell ref="AT15:AU15"/>
    <mergeCell ref="AV15:AW15"/>
    <mergeCell ref="AX15:AY15"/>
    <mergeCell ref="AZ15:BA15"/>
    <mergeCell ref="BB15:BC15"/>
    <mergeCell ref="BD15:BE15"/>
    <mergeCell ref="R15:S15"/>
    <mergeCell ref="T15:U15"/>
    <mergeCell ref="V15:W15"/>
    <mergeCell ref="BH4:BI4"/>
    <mergeCell ref="BJ4:BK4"/>
    <mergeCell ref="BL4:BM4"/>
    <mergeCell ref="BN4:BO4"/>
    <mergeCell ref="B15:C15"/>
    <mergeCell ref="D15:E15"/>
    <mergeCell ref="F15:G15"/>
    <mergeCell ref="H15:I15"/>
    <mergeCell ref="J15:K15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6" customWidth="1"/>
    <col min="2" max="33" width="16" style="6" customWidth="1"/>
    <col min="34" max="34" width="16" style="7" customWidth="1"/>
    <col min="35" max="67" width="16" style="6" customWidth="1"/>
    <col min="68" max="16384" width="9.140625" style="6"/>
  </cols>
  <sheetData>
    <row r="1" spans="1:67" ht="18.75" x14ac:dyDescent="0.3">
      <c r="A1" s="8" t="s">
        <v>215</v>
      </c>
    </row>
    <row r="2" spans="1:67" x14ac:dyDescent="0.25">
      <c r="A2" s="23" t="s">
        <v>34</v>
      </c>
    </row>
    <row r="3" spans="1:67" x14ac:dyDescent="0.25">
      <c r="A3" s="24" t="s">
        <v>216</v>
      </c>
    </row>
    <row r="4" spans="1:67" x14ac:dyDescent="0.25">
      <c r="A4" s="3" t="s">
        <v>0</v>
      </c>
      <c r="B4" s="103" t="s">
        <v>1</v>
      </c>
      <c r="C4" s="104"/>
      <c r="D4" s="103" t="s">
        <v>282</v>
      </c>
      <c r="E4" s="104"/>
      <c r="F4" s="103" t="s">
        <v>2</v>
      </c>
      <c r="G4" s="104"/>
      <c r="H4" s="103" t="s">
        <v>3</v>
      </c>
      <c r="I4" s="104"/>
      <c r="J4" s="103" t="s">
        <v>4</v>
      </c>
      <c r="K4" s="104"/>
      <c r="L4" s="103" t="s">
        <v>283</v>
      </c>
      <c r="M4" s="104"/>
      <c r="N4" s="103" t="s">
        <v>6</v>
      </c>
      <c r="O4" s="104"/>
      <c r="P4" s="103" t="s">
        <v>5</v>
      </c>
      <c r="Q4" s="104"/>
      <c r="R4" s="103" t="s">
        <v>7</v>
      </c>
      <c r="S4" s="104"/>
      <c r="T4" s="103" t="s">
        <v>284</v>
      </c>
      <c r="U4" s="104"/>
      <c r="V4" s="103" t="s">
        <v>8</v>
      </c>
      <c r="W4" s="104"/>
      <c r="X4" s="103" t="s">
        <v>9</v>
      </c>
      <c r="Y4" s="104"/>
      <c r="Z4" s="103" t="s">
        <v>10</v>
      </c>
      <c r="AA4" s="104"/>
      <c r="AB4" s="103" t="s">
        <v>304</v>
      </c>
      <c r="AC4" s="104"/>
      <c r="AD4" s="103" t="s">
        <v>11</v>
      </c>
      <c r="AE4" s="104"/>
      <c r="AF4" s="103" t="s">
        <v>12</v>
      </c>
      <c r="AG4" s="104"/>
      <c r="AH4" s="103" t="s">
        <v>285</v>
      </c>
      <c r="AI4" s="104"/>
      <c r="AJ4" s="103" t="s">
        <v>290</v>
      </c>
      <c r="AK4" s="104"/>
      <c r="AL4" s="103" t="s">
        <v>13</v>
      </c>
      <c r="AM4" s="104"/>
      <c r="AN4" s="103" t="s">
        <v>286</v>
      </c>
      <c r="AO4" s="104"/>
      <c r="AP4" s="103" t="s">
        <v>287</v>
      </c>
      <c r="AQ4" s="104"/>
      <c r="AR4" s="103" t="s">
        <v>291</v>
      </c>
      <c r="AS4" s="104"/>
      <c r="AT4" s="103" t="s">
        <v>305</v>
      </c>
      <c r="AU4" s="104"/>
      <c r="AV4" s="103" t="s">
        <v>14</v>
      </c>
      <c r="AW4" s="104"/>
      <c r="AX4" s="103" t="s">
        <v>15</v>
      </c>
      <c r="AY4" s="104"/>
      <c r="AZ4" s="103" t="s">
        <v>16</v>
      </c>
      <c r="BA4" s="104"/>
      <c r="BB4" s="103" t="s">
        <v>17</v>
      </c>
      <c r="BC4" s="104"/>
      <c r="BD4" s="103" t="s">
        <v>18</v>
      </c>
      <c r="BE4" s="104"/>
      <c r="BF4" s="103" t="s">
        <v>288</v>
      </c>
      <c r="BG4" s="104"/>
      <c r="BH4" s="103" t="s">
        <v>289</v>
      </c>
      <c r="BI4" s="104"/>
      <c r="BJ4" s="103" t="s">
        <v>19</v>
      </c>
      <c r="BK4" s="104"/>
      <c r="BL4" s="103" t="s">
        <v>20</v>
      </c>
      <c r="BM4" s="104"/>
      <c r="BN4" s="105" t="s">
        <v>21</v>
      </c>
      <c r="BO4" s="106"/>
    </row>
    <row r="5" spans="1:67" ht="30" x14ac:dyDescent="0.25">
      <c r="A5" s="3"/>
      <c r="B5" s="57" t="s">
        <v>293</v>
      </c>
      <c r="C5" s="58" t="s">
        <v>294</v>
      </c>
      <c r="D5" s="57" t="s">
        <v>293</v>
      </c>
      <c r="E5" s="58" t="s">
        <v>294</v>
      </c>
      <c r="F5" s="57" t="s">
        <v>293</v>
      </c>
      <c r="G5" s="58" t="s">
        <v>294</v>
      </c>
      <c r="H5" s="57" t="s">
        <v>293</v>
      </c>
      <c r="I5" s="58" t="s">
        <v>294</v>
      </c>
      <c r="J5" s="57" t="s">
        <v>293</v>
      </c>
      <c r="K5" s="58" t="s">
        <v>294</v>
      </c>
      <c r="L5" s="57" t="s">
        <v>293</v>
      </c>
      <c r="M5" s="58" t="s">
        <v>294</v>
      </c>
      <c r="N5" s="57" t="s">
        <v>293</v>
      </c>
      <c r="O5" s="58" t="s">
        <v>294</v>
      </c>
      <c r="P5" s="57" t="s">
        <v>293</v>
      </c>
      <c r="Q5" s="58" t="s">
        <v>294</v>
      </c>
      <c r="R5" s="57" t="s">
        <v>293</v>
      </c>
      <c r="S5" s="58" t="s">
        <v>294</v>
      </c>
      <c r="T5" s="57" t="s">
        <v>293</v>
      </c>
      <c r="U5" s="58" t="s">
        <v>294</v>
      </c>
      <c r="V5" s="57" t="s">
        <v>293</v>
      </c>
      <c r="W5" s="58" t="s">
        <v>294</v>
      </c>
      <c r="X5" s="57" t="s">
        <v>293</v>
      </c>
      <c r="Y5" s="58" t="s">
        <v>294</v>
      </c>
      <c r="Z5" s="57" t="s">
        <v>293</v>
      </c>
      <c r="AA5" s="58" t="s">
        <v>294</v>
      </c>
      <c r="AB5" s="57" t="s">
        <v>293</v>
      </c>
      <c r="AC5" s="58" t="s">
        <v>294</v>
      </c>
      <c r="AD5" s="57" t="s">
        <v>293</v>
      </c>
      <c r="AE5" s="58" t="s">
        <v>294</v>
      </c>
      <c r="AF5" s="57" t="s">
        <v>293</v>
      </c>
      <c r="AG5" s="58" t="s">
        <v>294</v>
      </c>
      <c r="AH5" s="57" t="s">
        <v>293</v>
      </c>
      <c r="AI5" s="58" t="s">
        <v>294</v>
      </c>
      <c r="AJ5" s="57" t="s">
        <v>293</v>
      </c>
      <c r="AK5" s="58" t="s">
        <v>294</v>
      </c>
      <c r="AL5" s="57" t="s">
        <v>293</v>
      </c>
      <c r="AM5" s="58" t="s">
        <v>294</v>
      </c>
      <c r="AN5" s="57" t="s">
        <v>293</v>
      </c>
      <c r="AO5" s="58" t="s">
        <v>294</v>
      </c>
      <c r="AP5" s="57" t="s">
        <v>293</v>
      </c>
      <c r="AQ5" s="58" t="s">
        <v>294</v>
      </c>
      <c r="AR5" s="57" t="s">
        <v>293</v>
      </c>
      <c r="AS5" s="58" t="s">
        <v>294</v>
      </c>
      <c r="AT5" s="57" t="s">
        <v>293</v>
      </c>
      <c r="AU5" s="58" t="s">
        <v>294</v>
      </c>
      <c r="AV5" s="57" t="s">
        <v>293</v>
      </c>
      <c r="AW5" s="58" t="s">
        <v>294</v>
      </c>
      <c r="AX5" s="57" t="s">
        <v>293</v>
      </c>
      <c r="AY5" s="58" t="s">
        <v>294</v>
      </c>
      <c r="AZ5" s="57" t="s">
        <v>293</v>
      </c>
      <c r="BA5" s="58" t="s">
        <v>294</v>
      </c>
      <c r="BB5" s="57" t="s">
        <v>293</v>
      </c>
      <c r="BC5" s="58" t="s">
        <v>294</v>
      </c>
      <c r="BD5" s="57" t="s">
        <v>293</v>
      </c>
      <c r="BE5" s="58" t="s">
        <v>294</v>
      </c>
      <c r="BF5" s="57" t="s">
        <v>293</v>
      </c>
      <c r="BG5" s="58" t="s">
        <v>294</v>
      </c>
      <c r="BH5" s="57" t="s">
        <v>293</v>
      </c>
      <c r="BI5" s="58" t="s">
        <v>294</v>
      </c>
      <c r="BJ5" s="57" t="s">
        <v>293</v>
      </c>
      <c r="BK5" s="58" t="s">
        <v>294</v>
      </c>
      <c r="BL5" s="57" t="s">
        <v>293</v>
      </c>
      <c r="BM5" s="58" t="s">
        <v>294</v>
      </c>
      <c r="BN5" s="57" t="s">
        <v>293</v>
      </c>
      <c r="BO5" s="58" t="s">
        <v>294</v>
      </c>
    </row>
    <row r="6" spans="1:67" x14ac:dyDescent="0.25">
      <c r="A6" s="25" t="s">
        <v>225</v>
      </c>
      <c r="B6" s="9"/>
      <c r="C6" s="9"/>
      <c r="D6" s="9"/>
      <c r="E6" s="9"/>
      <c r="F6" s="9"/>
      <c r="G6" s="9"/>
      <c r="H6" s="84">
        <v>327069</v>
      </c>
      <c r="I6" s="84">
        <v>954150</v>
      </c>
      <c r="J6" s="84">
        <v>45523</v>
      </c>
      <c r="K6" s="84">
        <v>208026</v>
      </c>
      <c r="L6" s="84">
        <v>86791</v>
      </c>
      <c r="M6" s="84">
        <v>260640</v>
      </c>
      <c r="N6" s="9"/>
      <c r="O6" s="9"/>
      <c r="P6" s="84">
        <v>2743</v>
      </c>
      <c r="Q6" s="84">
        <v>10150</v>
      </c>
      <c r="R6" s="84">
        <v>85556</v>
      </c>
      <c r="S6" s="84">
        <v>282601</v>
      </c>
      <c r="T6" s="84">
        <v>12472</v>
      </c>
      <c r="U6" s="84">
        <v>115716</v>
      </c>
      <c r="V6" s="84">
        <v>221959</v>
      </c>
      <c r="W6" s="84">
        <v>834972</v>
      </c>
      <c r="X6" s="84">
        <v>307461</v>
      </c>
      <c r="Y6" s="84">
        <v>1310790</v>
      </c>
      <c r="Z6" s="84">
        <v>185175</v>
      </c>
      <c r="AA6" s="84">
        <v>681685</v>
      </c>
      <c r="AB6" s="84">
        <v>8884</v>
      </c>
      <c r="AC6" s="84">
        <v>24767</v>
      </c>
      <c r="AD6" s="84">
        <v>16425</v>
      </c>
      <c r="AE6" s="84">
        <v>67705</v>
      </c>
      <c r="AF6" s="84">
        <v>20654</v>
      </c>
      <c r="AG6" s="84">
        <v>60837</v>
      </c>
      <c r="AH6" s="74"/>
      <c r="AI6" s="9"/>
      <c r="AJ6" s="9"/>
      <c r="AK6" s="9"/>
      <c r="AL6" s="9">
        <v>246578.98800000001</v>
      </c>
      <c r="AM6" s="9">
        <v>866715.93500000006</v>
      </c>
      <c r="AN6" s="84">
        <v>13724</v>
      </c>
      <c r="AO6" s="84">
        <v>25196</v>
      </c>
      <c r="AP6" s="84">
        <v>2336</v>
      </c>
      <c r="AQ6" s="84">
        <v>10105</v>
      </c>
      <c r="AR6" s="9">
        <v>146111</v>
      </c>
      <c r="AS6" s="9">
        <v>628600</v>
      </c>
      <c r="AT6" s="9"/>
      <c r="AU6" s="9"/>
      <c r="AV6" s="84">
        <v>49463</v>
      </c>
      <c r="AW6" s="84">
        <v>250585</v>
      </c>
      <c r="AX6" s="84">
        <v>399937</v>
      </c>
      <c r="AY6" s="84">
        <v>1113791</v>
      </c>
      <c r="AZ6" s="84">
        <v>10032</v>
      </c>
      <c r="BA6" s="84">
        <v>34793</v>
      </c>
      <c r="BB6" s="9"/>
      <c r="BC6" s="9"/>
      <c r="BD6" s="84">
        <v>300686</v>
      </c>
      <c r="BE6" s="84">
        <v>1034722</v>
      </c>
      <c r="BF6" s="84">
        <v>1419808</v>
      </c>
      <c r="BG6" s="84">
        <v>4160081</v>
      </c>
      <c r="BH6" s="84">
        <v>344491</v>
      </c>
      <c r="BI6" s="84">
        <v>1153805</v>
      </c>
      <c r="BJ6" s="84">
        <v>247246</v>
      </c>
      <c r="BK6" s="84">
        <v>1066340</v>
      </c>
      <c r="BL6" s="9"/>
      <c r="BM6" s="9"/>
      <c r="BN6" s="73">
        <f t="shared" ref="BN6:BN9" si="0">SUM(B6+D6+F6+H6+J6+L6+N6+P6+R6+T6+V6+X6+Z6+AB6+AD6+AF6+AH6+AJ6+AL6+AN6+AP6+AR6+AT6+AV6+AX6+AZ6+BB6+BD6+BF6+BH6+BJ6+BL6)</f>
        <v>4501124.9879999999</v>
      </c>
      <c r="BO6" s="73">
        <f t="shared" ref="BO6:BO9" si="1">SUM(C6+E6+G6+I6+K6+M6+O6+Q6+S6+U6+W6+Y6+AA6+AC6+AE6+AG6+AI6+AK6+AM6+AO6+AQ6+AS6+AU6+AW6+AY6+BA6+BC6+BE6+BG6+BI6+BK6+BM6)</f>
        <v>15156772.935000001</v>
      </c>
    </row>
    <row r="7" spans="1:67" x14ac:dyDescent="0.25">
      <c r="A7" s="25" t="s">
        <v>276</v>
      </c>
      <c r="B7" s="9"/>
      <c r="C7" s="9"/>
      <c r="D7" s="9"/>
      <c r="E7" s="9"/>
      <c r="F7" s="9"/>
      <c r="G7" s="9"/>
      <c r="H7" s="84">
        <v>7909</v>
      </c>
      <c r="I7" s="84">
        <v>39930</v>
      </c>
      <c r="J7" s="84">
        <v>-841</v>
      </c>
      <c r="K7" s="84">
        <v>11638</v>
      </c>
      <c r="L7" s="84">
        <v>545</v>
      </c>
      <c r="M7" s="84">
        <v>2123</v>
      </c>
      <c r="N7" s="9"/>
      <c r="O7" s="9"/>
      <c r="P7" s="84">
        <v>1316</v>
      </c>
      <c r="Q7" s="84">
        <v>6450</v>
      </c>
      <c r="R7" s="84">
        <v>9667</v>
      </c>
      <c r="S7" s="84">
        <v>41067</v>
      </c>
      <c r="T7" s="84">
        <v>64865</v>
      </c>
      <c r="U7" s="84">
        <v>349306</v>
      </c>
      <c r="V7" s="84">
        <v>15482</v>
      </c>
      <c r="W7" s="84">
        <v>64405</v>
      </c>
      <c r="X7" s="84">
        <v>24339</v>
      </c>
      <c r="Y7" s="84">
        <v>91308</v>
      </c>
      <c r="Z7" s="84">
        <v>7033</v>
      </c>
      <c r="AA7" s="84">
        <v>43109</v>
      </c>
      <c r="AB7" s="84">
        <v>140</v>
      </c>
      <c r="AC7" s="84">
        <v>897</v>
      </c>
      <c r="AD7" s="84">
        <v>2641</v>
      </c>
      <c r="AE7" s="84">
        <v>3924</v>
      </c>
      <c r="AF7" s="84">
        <v>6671</v>
      </c>
      <c r="AG7" s="84">
        <v>33829</v>
      </c>
      <c r="AH7" s="74"/>
      <c r="AI7" s="9"/>
      <c r="AJ7" s="9"/>
      <c r="AK7" s="9"/>
      <c r="AL7" s="9">
        <v>20106.600999999995</v>
      </c>
      <c r="AM7" s="9">
        <v>90436.9</v>
      </c>
      <c r="AN7" s="84">
        <v>125</v>
      </c>
      <c r="AO7" s="84">
        <v>462</v>
      </c>
      <c r="AP7" s="84">
        <v>2643</v>
      </c>
      <c r="AQ7" s="84">
        <v>5040</v>
      </c>
      <c r="AR7" s="9">
        <v>4466</v>
      </c>
      <c r="AS7" s="9">
        <v>30518</v>
      </c>
      <c r="AT7" s="9"/>
      <c r="AU7" s="9"/>
      <c r="AV7" s="84">
        <v>13375</v>
      </c>
      <c r="AW7" s="84">
        <v>48306</v>
      </c>
      <c r="AX7" s="84">
        <v>1054</v>
      </c>
      <c r="AY7" s="84">
        <v>3609</v>
      </c>
      <c r="AZ7" s="84">
        <v>1286</v>
      </c>
      <c r="BA7" s="84">
        <v>5837</v>
      </c>
      <c r="BB7" s="9"/>
      <c r="BC7" s="9"/>
      <c r="BD7" s="84">
        <v>13382</v>
      </c>
      <c r="BE7" s="84">
        <v>55240</v>
      </c>
      <c r="BF7" s="84">
        <v>308232</v>
      </c>
      <c r="BG7" s="84">
        <v>1303700</v>
      </c>
      <c r="BH7" s="84">
        <v>34713</v>
      </c>
      <c r="BI7" s="84">
        <v>138312</v>
      </c>
      <c r="BJ7" s="84">
        <v>37495</v>
      </c>
      <c r="BK7" s="84">
        <v>94331</v>
      </c>
      <c r="BL7" s="9"/>
      <c r="BM7" s="9"/>
      <c r="BN7" s="73">
        <f t="shared" si="0"/>
        <v>576644.60100000002</v>
      </c>
      <c r="BO7" s="73">
        <f t="shared" si="1"/>
        <v>2463777.9</v>
      </c>
    </row>
    <row r="8" spans="1:67" x14ac:dyDescent="0.25">
      <c r="A8" s="25" t="s">
        <v>277</v>
      </c>
      <c r="B8" s="9"/>
      <c r="C8" s="9"/>
      <c r="D8" s="9"/>
      <c r="E8" s="9"/>
      <c r="F8" s="9"/>
      <c r="G8" s="9"/>
      <c r="H8" s="84">
        <v>699027</v>
      </c>
      <c r="I8" s="84">
        <v>2301892</v>
      </c>
      <c r="J8" s="84">
        <v>74928</v>
      </c>
      <c r="K8" s="84">
        <v>208779</v>
      </c>
      <c r="L8" s="84">
        <v>122897</v>
      </c>
      <c r="M8" s="84">
        <v>359307</v>
      </c>
      <c r="N8" s="9"/>
      <c r="O8" s="9"/>
      <c r="P8" s="84">
        <v>2928</v>
      </c>
      <c r="Q8" s="84">
        <v>16650</v>
      </c>
      <c r="R8" s="84">
        <v>131941</v>
      </c>
      <c r="S8" s="84">
        <v>363306</v>
      </c>
      <c r="T8" s="84">
        <v>160521</v>
      </c>
      <c r="U8" s="84">
        <v>619685</v>
      </c>
      <c r="V8" s="84">
        <v>-350373</v>
      </c>
      <c r="W8" s="84">
        <v>-1396733</v>
      </c>
      <c r="X8" s="84">
        <v>434640</v>
      </c>
      <c r="Y8" s="84">
        <v>1820054</v>
      </c>
      <c r="Z8" s="84">
        <v>544465</v>
      </c>
      <c r="AA8" s="84">
        <v>1254960</v>
      </c>
      <c r="AB8" s="84">
        <v>7583</v>
      </c>
      <c r="AC8" s="84">
        <v>19988</v>
      </c>
      <c r="AD8" s="84">
        <v>26825</v>
      </c>
      <c r="AE8" s="84">
        <v>97051</v>
      </c>
      <c r="AF8" s="84">
        <v>-35751</v>
      </c>
      <c r="AG8" s="84">
        <v>-111534</v>
      </c>
      <c r="AH8" s="74"/>
      <c r="AI8" s="9"/>
      <c r="AJ8" s="9"/>
      <c r="AK8" s="9"/>
      <c r="AL8" s="9">
        <v>73319.37</v>
      </c>
      <c r="AM8" s="9">
        <v>239130.986</v>
      </c>
      <c r="AN8" s="84">
        <v>956</v>
      </c>
      <c r="AO8" s="84">
        <v>10106</v>
      </c>
      <c r="AP8" s="84">
        <v>4025</v>
      </c>
      <c r="AQ8" s="84">
        <v>12409</v>
      </c>
      <c r="AR8" s="9">
        <v>148734</v>
      </c>
      <c r="AS8" s="9">
        <v>537027</v>
      </c>
      <c r="AT8" s="9"/>
      <c r="AU8" s="9"/>
      <c r="AV8" s="84">
        <v>-77636</v>
      </c>
      <c r="AW8" s="84">
        <v>-352546</v>
      </c>
      <c r="AX8" s="84">
        <v>925990</v>
      </c>
      <c r="AY8" s="84">
        <v>3039202</v>
      </c>
      <c r="AZ8" s="84">
        <v>4254</v>
      </c>
      <c r="BA8" s="84">
        <v>14183</v>
      </c>
      <c r="BB8" s="9"/>
      <c r="BC8" s="9"/>
      <c r="BD8" s="84">
        <v>524367</v>
      </c>
      <c r="BE8" s="84">
        <v>1926991</v>
      </c>
      <c r="BF8" s="84">
        <v>364480</v>
      </c>
      <c r="BG8" s="84">
        <v>1359485</v>
      </c>
      <c r="BH8" s="84">
        <v>117189</v>
      </c>
      <c r="BI8" s="84">
        <v>480734</v>
      </c>
      <c r="BJ8" s="84">
        <v>71106</v>
      </c>
      <c r="BK8" s="84">
        <v>392185</v>
      </c>
      <c r="BL8" s="9"/>
      <c r="BM8" s="9"/>
      <c r="BN8" s="73">
        <f t="shared" si="0"/>
        <v>3976415.37</v>
      </c>
      <c r="BO8" s="73">
        <f t="shared" si="1"/>
        <v>13212311.986</v>
      </c>
    </row>
    <row r="9" spans="1:67" x14ac:dyDescent="0.25">
      <c r="A9" s="25" t="s">
        <v>226</v>
      </c>
      <c r="B9" s="9"/>
      <c r="C9" s="9"/>
      <c r="D9" s="9"/>
      <c r="E9" s="9"/>
      <c r="F9" s="9"/>
      <c r="G9" s="9"/>
      <c r="H9" s="84">
        <v>-364049</v>
      </c>
      <c r="I9" s="84">
        <v>-1307812</v>
      </c>
      <c r="J9" s="84">
        <v>-30246</v>
      </c>
      <c r="K9" s="84">
        <v>10885</v>
      </c>
      <c r="L9" s="84">
        <v>-35561</v>
      </c>
      <c r="M9" s="84">
        <v>-96544</v>
      </c>
      <c r="N9" s="9"/>
      <c r="O9" s="9"/>
      <c r="P9" s="84">
        <v>1131</v>
      </c>
      <c r="Q9" s="84">
        <v>-50</v>
      </c>
      <c r="R9" s="84">
        <v>-36718</v>
      </c>
      <c r="S9" s="84">
        <v>-39638</v>
      </c>
      <c r="T9" s="84">
        <v>-83184</v>
      </c>
      <c r="U9" s="84">
        <v>-154663</v>
      </c>
      <c r="V9" s="84">
        <v>-112932</v>
      </c>
      <c r="W9" s="84">
        <v>-497356</v>
      </c>
      <c r="X9" s="84">
        <v>-102840</v>
      </c>
      <c r="Y9" s="84">
        <v>-417956</v>
      </c>
      <c r="Z9" s="84">
        <v>-352257</v>
      </c>
      <c r="AA9" s="84">
        <v>-530166</v>
      </c>
      <c r="AB9" s="84">
        <v>1441</v>
      </c>
      <c r="AC9" s="84">
        <v>5676</v>
      </c>
      <c r="AD9" s="84">
        <v>-7760</v>
      </c>
      <c r="AE9" s="84">
        <v>-25422</v>
      </c>
      <c r="AF9" s="84">
        <v>-8426</v>
      </c>
      <c r="AG9" s="84">
        <v>-16868</v>
      </c>
      <c r="AH9" s="74"/>
      <c r="AI9" s="9"/>
      <c r="AJ9" s="9"/>
      <c r="AK9" s="9"/>
      <c r="AL9" s="9">
        <v>193366.21900000004</v>
      </c>
      <c r="AM9" s="9">
        <v>718021.84900000005</v>
      </c>
      <c r="AN9" s="84">
        <v>14805</v>
      </c>
      <c r="AO9" s="84">
        <v>35764</v>
      </c>
      <c r="AP9" s="84">
        <v>955</v>
      </c>
      <c r="AQ9" s="84">
        <v>2737</v>
      </c>
      <c r="AR9" s="9">
        <v>1843</v>
      </c>
      <c r="AS9" s="9">
        <v>122091</v>
      </c>
      <c r="AT9" s="9"/>
      <c r="AU9" s="9"/>
      <c r="AV9" s="84">
        <v>-14798</v>
      </c>
      <c r="AW9" s="84">
        <v>-53655</v>
      </c>
      <c r="AX9" s="84">
        <v>-524999</v>
      </c>
      <c r="AY9" s="84">
        <v>-1921802</v>
      </c>
      <c r="AZ9" s="84">
        <v>7064</v>
      </c>
      <c r="BA9" s="84">
        <v>26447</v>
      </c>
      <c r="BB9" s="9"/>
      <c r="BC9" s="9"/>
      <c r="BD9" s="84">
        <v>-210299</v>
      </c>
      <c r="BE9" s="84">
        <v>-837029</v>
      </c>
      <c r="BF9" s="84">
        <v>1363559</v>
      </c>
      <c r="BG9" s="84">
        <v>4104297</v>
      </c>
      <c r="BH9" s="84">
        <v>262015</v>
      </c>
      <c r="BI9" s="84">
        <v>811383</v>
      </c>
      <c r="BJ9" s="84">
        <v>213635</v>
      </c>
      <c r="BK9" s="84">
        <v>768486</v>
      </c>
      <c r="BL9" s="9"/>
      <c r="BM9" s="9"/>
      <c r="BN9" s="73">
        <f t="shared" si="0"/>
        <v>175745.21900000004</v>
      </c>
      <c r="BO9" s="73">
        <f t="shared" si="1"/>
        <v>706826.84899999946</v>
      </c>
    </row>
    <row r="10" spans="1:67" x14ac:dyDescent="0.25">
      <c r="A10" s="23"/>
    </row>
    <row r="11" spans="1:67" x14ac:dyDescent="0.25">
      <c r="A11" s="24" t="s">
        <v>217</v>
      </c>
    </row>
    <row r="12" spans="1:67" x14ac:dyDescent="0.25">
      <c r="A12" s="3" t="s">
        <v>0</v>
      </c>
      <c r="B12" s="103" t="s">
        <v>1</v>
      </c>
      <c r="C12" s="104"/>
      <c r="D12" s="103" t="s">
        <v>282</v>
      </c>
      <c r="E12" s="104"/>
      <c r="F12" s="103" t="s">
        <v>2</v>
      </c>
      <c r="G12" s="104"/>
      <c r="H12" s="103" t="s">
        <v>3</v>
      </c>
      <c r="I12" s="104"/>
      <c r="J12" s="103" t="s">
        <v>4</v>
      </c>
      <c r="K12" s="104"/>
      <c r="L12" s="103" t="s">
        <v>283</v>
      </c>
      <c r="M12" s="104"/>
      <c r="N12" s="103" t="s">
        <v>6</v>
      </c>
      <c r="O12" s="104"/>
      <c r="P12" s="103" t="s">
        <v>5</v>
      </c>
      <c r="Q12" s="104"/>
      <c r="R12" s="103" t="s">
        <v>7</v>
      </c>
      <c r="S12" s="104"/>
      <c r="T12" s="103" t="s">
        <v>284</v>
      </c>
      <c r="U12" s="104"/>
      <c r="V12" s="103" t="s">
        <v>8</v>
      </c>
      <c r="W12" s="104"/>
      <c r="X12" s="103" t="s">
        <v>9</v>
      </c>
      <c r="Y12" s="104"/>
      <c r="Z12" s="103" t="s">
        <v>10</v>
      </c>
      <c r="AA12" s="104"/>
      <c r="AB12" s="103" t="s">
        <v>304</v>
      </c>
      <c r="AC12" s="104"/>
      <c r="AD12" s="103" t="s">
        <v>11</v>
      </c>
      <c r="AE12" s="104"/>
      <c r="AF12" s="103" t="s">
        <v>12</v>
      </c>
      <c r="AG12" s="104"/>
      <c r="AH12" s="103" t="s">
        <v>285</v>
      </c>
      <c r="AI12" s="104"/>
      <c r="AJ12" s="103" t="s">
        <v>290</v>
      </c>
      <c r="AK12" s="104"/>
      <c r="AL12" s="103" t="s">
        <v>13</v>
      </c>
      <c r="AM12" s="104"/>
      <c r="AN12" s="103" t="s">
        <v>286</v>
      </c>
      <c r="AO12" s="104"/>
      <c r="AP12" s="103" t="s">
        <v>287</v>
      </c>
      <c r="AQ12" s="104"/>
      <c r="AR12" s="103" t="s">
        <v>291</v>
      </c>
      <c r="AS12" s="104"/>
      <c r="AT12" s="103" t="s">
        <v>305</v>
      </c>
      <c r="AU12" s="104"/>
      <c r="AV12" s="103" t="s">
        <v>14</v>
      </c>
      <c r="AW12" s="104"/>
      <c r="AX12" s="103" t="s">
        <v>15</v>
      </c>
      <c r="AY12" s="104"/>
      <c r="AZ12" s="103" t="s">
        <v>16</v>
      </c>
      <c r="BA12" s="104"/>
      <c r="BB12" s="103" t="s">
        <v>17</v>
      </c>
      <c r="BC12" s="104"/>
      <c r="BD12" s="103" t="s">
        <v>18</v>
      </c>
      <c r="BE12" s="104"/>
      <c r="BF12" s="103" t="s">
        <v>288</v>
      </c>
      <c r="BG12" s="104"/>
      <c r="BH12" s="103" t="s">
        <v>289</v>
      </c>
      <c r="BI12" s="104"/>
      <c r="BJ12" s="103" t="s">
        <v>19</v>
      </c>
      <c r="BK12" s="104"/>
      <c r="BL12" s="103" t="s">
        <v>20</v>
      </c>
      <c r="BM12" s="104"/>
      <c r="BN12" s="105" t="s">
        <v>21</v>
      </c>
      <c r="BO12" s="106"/>
    </row>
    <row r="13" spans="1:67" ht="30" x14ac:dyDescent="0.25">
      <c r="A13" s="3"/>
      <c r="B13" s="57" t="s">
        <v>293</v>
      </c>
      <c r="C13" s="58" t="s">
        <v>294</v>
      </c>
      <c r="D13" s="57" t="s">
        <v>293</v>
      </c>
      <c r="E13" s="58" t="s">
        <v>294</v>
      </c>
      <c r="F13" s="57" t="s">
        <v>293</v>
      </c>
      <c r="G13" s="58" t="s">
        <v>294</v>
      </c>
      <c r="H13" s="57" t="s">
        <v>293</v>
      </c>
      <c r="I13" s="58" t="s">
        <v>294</v>
      </c>
      <c r="J13" s="57" t="s">
        <v>293</v>
      </c>
      <c r="K13" s="58" t="s">
        <v>294</v>
      </c>
      <c r="L13" s="57" t="s">
        <v>293</v>
      </c>
      <c r="M13" s="58" t="s">
        <v>294</v>
      </c>
      <c r="N13" s="57" t="s">
        <v>293</v>
      </c>
      <c r="O13" s="58" t="s">
        <v>294</v>
      </c>
      <c r="P13" s="57" t="s">
        <v>293</v>
      </c>
      <c r="Q13" s="58" t="s">
        <v>294</v>
      </c>
      <c r="R13" s="57" t="s">
        <v>293</v>
      </c>
      <c r="S13" s="58" t="s">
        <v>294</v>
      </c>
      <c r="T13" s="57" t="s">
        <v>293</v>
      </c>
      <c r="U13" s="58" t="s">
        <v>294</v>
      </c>
      <c r="V13" s="57" t="s">
        <v>293</v>
      </c>
      <c r="W13" s="58" t="s">
        <v>294</v>
      </c>
      <c r="X13" s="57" t="s">
        <v>293</v>
      </c>
      <c r="Y13" s="58" t="s">
        <v>294</v>
      </c>
      <c r="Z13" s="57" t="s">
        <v>293</v>
      </c>
      <c r="AA13" s="58" t="s">
        <v>294</v>
      </c>
      <c r="AB13" s="57" t="s">
        <v>293</v>
      </c>
      <c r="AC13" s="58" t="s">
        <v>294</v>
      </c>
      <c r="AD13" s="57" t="s">
        <v>293</v>
      </c>
      <c r="AE13" s="58" t="s">
        <v>294</v>
      </c>
      <c r="AF13" s="57" t="s">
        <v>293</v>
      </c>
      <c r="AG13" s="58" t="s">
        <v>294</v>
      </c>
      <c r="AH13" s="57" t="s">
        <v>293</v>
      </c>
      <c r="AI13" s="58" t="s">
        <v>294</v>
      </c>
      <c r="AJ13" s="57" t="s">
        <v>293</v>
      </c>
      <c r="AK13" s="58" t="s">
        <v>294</v>
      </c>
      <c r="AL13" s="57" t="s">
        <v>293</v>
      </c>
      <c r="AM13" s="58" t="s">
        <v>294</v>
      </c>
      <c r="AN13" s="57" t="s">
        <v>293</v>
      </c>
      <c r="AO13" s="58" t="s">
        <v>294</v>
      </c>
      <c r="AP13" s="57" t="s">
        <v>293</v>
      </c>
      <c r="AQ13" s="58" t="s">
        <v>294</v>
      </c>
      <c r="AR13" s="57" t="s">
        <v>293</v>
      </c>
      <c r="AS13" s="58" t="s">
        <v>294</v>
      </c>
      <c r="AT13" s="57" t="s">
        <v>293</v>
      </c>
      <c r="AU13" s="58" t="s">
        <v>294</v>
      </c>
      <c r="AV13" s="57" t="s">
        <v>293</v>
      </c>
      <c r="AW13" s="58" t="s">
        <v>294</v>
      </c>
      <c r="AX13" s="57" t="s">
        <v>293</v>
      </c>
      <c r="AY13" s="58" t="s">
        <v>294</v>
      </c>
      <c r="AZ13" s="57" t="s">
        <v>293</v>
      </c>
      <c r="BA13" s="58" t="s">
        <v>294</v>
      </c>
      <c r="BB13" s="57" t="s">
        <v>293</v>
      </c>
      <c r="BC13" s="58" t="s">
        <v>294</v>
      </c>
      <c r="BD13" s="57" t="s">
        <v>293</v>
      </c>
      <c r="BE13" s="58" t="s">
        <v>294</v>
      </c>
      <c r="BF13" s="57" t="s">
        <v>293</v>
      </c>
      <c r="BG13" s="58" t="s">
        <v>294</v>
      </c>
      <c r="BH13" s="57" t="s">
        <v>293</v>
      </c>
      <c r="BI13" s="58" t="s">
        <v>294</v>
      </c>
      <c r="BJ13" s="57" t="s">
        <v>293</v>
      </c>
      <c r="BK13" s="58" t="s">
        <v>294</v>
      </c>
      <c r="BL13" s="57" t="s">
        <v>293</v>
      </c>
      <c r="BM13" s="58" t="s">
        <v>294</v>
      </c>
      <c r="BN13" s="57" t="s">
        <v>293</v>
      </c>
      <c r="BO13" s="58" t="s">
        <v>294</v>
      </c>
    </row>
    <row r="14" spans="1:67" x14ac:dyDescent="0.25">
      <c r="A14" s="25" t="s">
        <v>225</v>
      </c>
      <c r="B14" s="9"/>
      <c r="C14" s="9"/>
      <c r="D14" s="9"/>
      <c r="E14" s="9"/>
      <c r="F14" s="9"/>
      <c r="G14" s="9"/>
      <c r="H14" s="84">
        <v>29729</v>
      </c>
      <c r="I14" s="84">
        <v>98014</v>
      </c>
      <c r="J14" s="84">
        <v>18817</v>
      </c>
      <c r="K14" s="84">
        <v>61444</v>
      </c>
      <c r="L14" s="84">
        <v>15800</v>
      </c>
      <c r="M14" s="84">
        <v>43933</v>
      </c>
      <c r="N14" s="9"/>
      <c r="O14" s="9"/>
      <c r="P14" s="84">
        <v>2930</v>
      </c>
      <c r="Q14" s="84">
        <v>4583</v>
      </c>
      <c r="R14" s="84">
        <v>18910</v>
      </c>
      <c r="S14" s="84">
        <v>61617</v>
      </c>
      <c r="T14" s="84">
        <v>723</v>
      </c>
      <c r="U14" s="84">
        <v>751</v>
      </c>
      <c r="V14" s="84">
        <v>34445</v>
      </c>
      <c r="W14" s="84">
        <v>102593</v>
      </c>
      <c r="X14" s="84">
        <v>92031</v>
      </c>
      <c r="Y14" s="84">
        <v>293487</v>
      </c>
      <c r="Z14" s="84">
        <v>42696</v>
      </c>
      <c r="AA14" s="84">
        <v>117807</v>
      </c>
      <c r="AB14" s="84">
        <v>10</v>
      </c>
      <c r="AC14" s="84">
        <v>10</v>
      </c>
      <c r="AD14" s="84">
        <v>11864</v>
      </c>
      <c r="AE14" s="84">
        <v>32172</v>
      </c>
      <c r="AF14" s="84">
        <v>1552</v>
      </c>
      <c r="AG14" s="84">
        <v>6880</v>
      </c>
      <c r="AH14" s="74"/>
      <c r="AI14" s="9"/>
      <c r="AJ14" s="9"/>
      <c r="AK14" s="9"/>
      <c r="AL14" s="9">
        <v>53413.669000000002</v>
      </c>
      <c r="AM14" s="9">
        <v>142062.07199999999</v>
      </c>
      <c r="AN14" s="9"/>
      <c r="AO14" s="9"/>
      <c r="AP14" s="84">
        <v>-280</v>
      </c>
      <c r="AQ14" s="84">
        <v>438</v>
      </c>
      <c r="AR14" s="9">
        <v>19131</v>
      </c>
      <c r="AS14" s="9">
        <v>67763</v>
      </c>
      <c r="AT14" s="9"/>
      <c r="AU14" s="9"/>
      <c r="AV14" s="84">
        <v>13549</v>
      </c>
      <c r="AW14" s="84">
        <v>38168</v>
      </c>
      <c r="AX14" s="84">
        <v>12914</v>
      </c>
      <c r="AY14" s="84">
        <v>37610</v>
      </c>
      <c r="AZ14" s="84">
        <v>288</v>
      </c>
      <c r="BA14" s="84">
        <v>997</v>
      </c>
      <c r="BB14" s="9"/>
      <c r="BC14" s="9"/>
      <c r="BD14" s="84">
        <v>103917</v>
      </c>
      <c r="BE14" s="84">
        <v>350728</v>
      </c>
      <c r="BF14" s="84">
        <v>227069</v>
      </c>
      <c r="BG14" s="84">
        <v>529428</v>
      </c>
      <c r="BH14" s="84">
        <v>77902</v>
      </c>
      <c r="BI14" s="84">
        <v>222298</v>
      </c>
      <c r="BJ14" s="84">
        <v>57423</v>
      </c>
      <c r="BK14" s="84">
        <v>179364</v>
      </c>
      <c r="BL14" s="9"/>
      <c r="BM14" s="9"/>
      <c r="BN14" s="73">
        <f t="shared" ref="BN14:BN17" si="2">SUM(B14+D14+F14+H14+J14+L14+N14+P14+R14+T14+V14+X14+Z14+AB14+AD14+AF14+AH14+AJ14+AL14+AN14+AP14+AR14+AT14+AV14+AX14+AZ14+BB14+BD14+BF14+BH14+BJ14+BL14)</f>
        <v>834833.66899999999</v>
      </c>
      <c r="BO14" s="73">
        <f t="shared" ref="BO14:BO17" si="3">SUM(C14+E14+G14+I14+K14+M14+O14+Q14+S14+U14+W14+Y14+AA14+AC14+AE14+AG14+AI14+AK14+AM14+AO14+AQ14+AS14+AU14+AW14+AY14+BA14+BC14+BE14+BG14+BI14+BK14+BM14)</f>
        <v>2392147.0719999997</v>
      </c>
    </row>
    <row r="15" spans="1:67" x14ac:dyDescent="0.25">
      <c r="A15" s="25" t="s">
        <v>276</v>
      </c>
      <c r="B15" s="9"/>
      <c r="C15" s="9"/>
      <c r="D15" s="9"/>
      <c r="E15" s="9"/>
      <c r="F15" s="9"/>
      <c r="G15" s="9"/>
      <c r="H15" s="84"/>
      <c r="I15" s="84"/>
      <c r="J15" s="84">
        <v>114</v>
      </c>
      <c r="K15" s="84">
        <v>1007</v>
      </c>
      <c r="L15" s="84"/>
      <c r="M15" s="84"/>
      <c r="N15" s="9"/>
      <c r="O15" s="9"/>
      <c r="P15" s="84"/>
      <c r="Q15" s="84">
        <v>22</v>
      </c>
      <c r="R15" s="84">
        <v>325</v>
      </c>
      <c r="S15" s="84">
        <v>1576</v>
      </c>
      <c r="T15" s="84">
        <v>-892</v>
      </c>
      <c r="U15" s="84">
        <v>-420</v>
      </c>
      <c r="V15" s="84">
        <v>993</v>
      </c>
      <c r="W15" s="84">
        <v>2997</v>
      </c>
      <c r="X15" s="84">
        <v>2240</v>
      </c>
      <c r="Y15" s="84">
        <v>15634</v>
      </c>
      <c r="Z15" s="84">
        <v>337</v>
      </c>
      <c r="AA15" s="84">
        <v>736</v>
      </c>
      <c r="AB15" s="84"/>
      <c r="AC15" s="84"/>
      <c r="AD15" s="84"/>
      <c r="AE15" s="84"/>
      <c r="AF15" s="84">
        <v>-711</v>
      </c>
      <c r="AG15" s="84">
        <v>1638</v>
      </c>
      <c r="AH15" s="74"/>
      <c r="AI15" s="9"/>
      <c r="AJ15" s="9"/>
      <c r="AK15" s="9"/>
      <c r="AL15" s="9">
        <v>2639.7240000000002</v>
      </c>
      <c r="AM15" s="9">
        <v>9948.2210000000014</v>
      </c>
      <c r="AN15" s="9"/>
      <c r="AO15" s="9"/>
      <c r="AP15" s="84"/>
      <c r="AQ15" s="84"/>
      <c r="AR15" s="9">
        <v>1273</v>
      </c>
      <c r="AS15" s="9">
        <v>1277</v>
      </c>
      <c r="AT15" s="9"/>
      <c r="AU15" s="9"/>
      <c r="AV15" s="84">
        <v>85</v>
      </c>
      <c r="AW15" s="84">
        <v>155</v>
      </c>
      <c r="AX15" s="84">
        <v>1852</v>
      </c>
      <c r="AY15" s="84">
        <v>2263</v>
      </c>
      <c r="AZ15" s="84"/>
      <c r="BA15" s="84"/>
      <c r="BB15" s="9"/>
      <c r="BC15" s="9"/>
      <c r="BD15" s="84">
        <v>7198</v>
      </c>
      <c r="BE15" s="84">
        <v>23374</v>
      </c>
      <c r="BF15" s="84">
        <v>19773</v>
      </c>
      <c r="BG15" s="84">
        <v>64622</v>
      </c>
      <c r="BH15" s="84">
        <v>5074</v>
      </c>
      <c r="BI15" s="84">
        <v>12942</v>
      </c>
      <c r="BJ15" s="84">
        <v>9500</v>
      </c>
      <c r="BK15" s="84">
        <v>12413</v>
      </c>
      <c r="BL15" s="9"/>
      <c r="BM15" s="9"/>
      <c r="BN15" s="73">
        <f t="shared" si="2"/>
        <v>49800.724000000002</v>
      </c>
      <c r="BO15" s="73">
        <f t="shared" si="3"/>
        <v>150184.22100000002</v>
      </c>
    </row>
    <row r="16" spans="1:67" x14ac:dyDescent="0.25">
      <c r="A16" s="25" t="s">
        <v>277</v>
      </c>
      <c r="B16" s="9"/>
      <c r="C16" s="9"/>
      <c r="D16" s="9"/>
      <c r="E16" s="9"/>
      <c r="F16" s="9"/>
      <c r="G16" s="9"/>
      <c r="H16" s="84">
        <v>9253</v>
      </c>
      <c r="I16" s="84">
        <v>39215</v>
      </c>
      <c r="J16" s="84">
        <v>4978</v>
      </c>
      <c r="K16" s="84">
        <v>16079</v>
      </c>
      <c r="L16" s="84">
        <v>19191</v>
      </c>
      <c r="M16" s="84">
        <v>58575</v>
      </c>
      <c r="N16" s="9"/>
      <c r="O16" s="9"/>
      <c r="P16" s="84">
        <v>2754</v>
      </c>
      <c r="Q16" s="84">
        <v>4471</v>
      </c>
      <c r="R16" s="84">
        <v>2346</v>
      </c>
      <c r="S16" s="84">
        <v>8460</v>
      </c>
      <c r="T16" s="84">
        <v>47</v>
      </c>
      <c r="U16" s="84">
        <v>123</v>
      </c>
      <c r="V16" s="84">
        <f>-1820-6023</f>
        <v>-7843</v>
      </c>
      <c r="W16" s="84">
        <f>-5509-23251</f>
        <v>-28760</v>
      </c>
      <c r="X16" s="84">
        <v>29373</v>
      </c>
      <c r="Y16" s="84">
        <v>64817</v>
      </c>
      <c r="Z16" s="84">
        <v>37586</v>
      </c>
      <c r="AA16" s="84">
        <v>79502</v>
      </c>
      <c r="AB16" s="84">
        <v>6</v>
      </c>
      <c r="AC16" s="84">
        <v>6</v>
      </c>
      <c r="AD16" s="84">
        <v>528</v>
      </c>
      <c r="AE16" s="84">
        <v>1549</v>
      </c>
      <c r="AF16" s="84">
        <v>-1188</v>
      </c>
      <c r="AG16" s="84">
        <v>-14766</v>
      </c>
      <c r="AH16" s="74"/>
      <c r="AI16" s="9"/>
      <c r="AJ16" s="9"/>
      <c r="AK16" s="9"/>
      <c r="AL16" s="9">
        <v>21313.528999999999</v>
      </c>
      <c r="AM16" s="9">
        <v>66071.194000000003</v>
      </c>
      <c r="AN16" s="9"/>
      <c r="AO16" s="9"/>
      <c r="AP16" s="84"/>
      <c r="AQ16" s="84">
        <v>21</v>
      </c>
      <c r="AR16" s="9">
        <v>19123</v>
      </c>
      <c r="AS16" s="9">
        <v>81974</v>
      </c>
      <c r="AT16" s="9"/>
      <c r="AU16" s="9"/>
      <c r="AV16" s="84">
        <v>-4801</v>
      </c>
      <c r="AW16" s="84">
        <v>-23680</v>
      </c>
      <c r="AX16" s="84">
        <v>2851</v>
      </c>
      <c r="AY16" s="84">
        <v>4242</v>
      </c>
      <c r="AZ16" s="84">
        <v>52</v>
      </c>
      <c r="BA16" s="84">
        <v>135</v>
      </c>
      <c r="BB16" s="9"/>
      <c r="BC16" s="9"/>
      <c r="BD16" s="84">
        <v>9965</v>
      </c>
      <c r="BE16" s="84">
        <v>41503</v>
      </c>
      <c r="BF16" s="84">
        <v>38175</v>
      </c>
      <c r="BG16" s="84">
        <v>120826</v>
      </c>
      <c r="BH16" s="84">
        <v>25686</v>
      </c>
      <c r="BI16" s="84">
        <v>92794</v>
      </c>
      <c r="BJ16" s="84">
        <v>17709</v>
      </c>
      <c r="BK16" s="84">
        <v>47189</v>
      </c>
      <c r="BL16" s="9"/>
      <c r="BM16" s="9"/>
      <c r="BN16" s="73">
        <f t="shared" si="2"/>
        <v>227104.52899999998</v>
      </c>
      <c r="BO16" s="73">
        <f t="shared" si="3"/>
        <v>660346.19400000002</v>
      </c>
    </row>
    <row r="17" spans="1:67" x14ac:dyDescent="0.25">
      <c r="A17" s="25" t="s">
        <v>226</v>
      </c>
      <c r="B17" s="9"/>
      <c r="C17" s="9"/>
      <c r="D17" s="9"/>
      <c r="E17" s="9"/>
      <c r="F17" s="9"/>
      <c r="G17" s="9"/>
      <c r="H17" s="84">
        <v>20476</v>
      </c>
      <c r="I17" s="84">
        <v>58799</v>
      </c>
      <c r="J17" s="84">
        <v>13953</v>
      </c>
      <c r="K17" s="84">
        <v>46372</v>
      </c>
      <c r="L17" s="84">
        <v>-3391</v>
      </c>
      <c r="M17" s="84">
        <v>-14642</v>
      </c>
      <c r="N17" s="9"/>
      <c r="O17" s="9"/>
      <c r="P17" s="84">
        <v>176</v>
      </c>
      <c r="Q17" s="84">
        <v>134</v>
      </c>
      <c r="R17" s="84">
        <v>16889</v>
      </c>
      <c r="S17" s="84">
        <v>54733</v>
      </c>
      <c r="T17" s="84">
        <v>-216</v>
      </c>
      <c r="U17" s="84">
        <v>207</v>
      </c>
      <c r="V17" s="84">
        <f>-1820+29414</f>
        <v>27594</v>
      </c>
      <c r="W17" s="84">
        <f>-5509+82339</f>
        <v>76830</v>
      </c>
      <c r="X17" s="84">
        <v>64898</v>
      </c>
      <c r="Y17" s="84">
        <v>244304</v>
      </c>
      <c r="Z17" s="84">
        <v>5447</v>
      </c>
      <c r="AA17" s="84">
        <v>39041</v>
      </c>
      <c r="AB17" s="84">
        <v>4</v>
      </c>
      <c r="AC17" s="84">
        <v>4</v>
      </c>
      <c r="AD17" s="84">
        <v>11335</v>
      </c>
      <c r="AE17" s="84">
        <v>30622</v>
      </c>
      <c r="AF17" s="84">
        <v>-347</v>
      </c>
      <c r="AG17" s="84">
        <v>-6248</v>
      </c>
      <c r="AH17" s="74"/>
      <c r="AI17" s="9"/>
      <c r="AJ17" s="9"/>
      <c r="AK17" s="9"/>
      <c r="AL17" s="9">
        <v>34739.864000000001</v>
      </c>
      <c r="AM17" s="9">
        <v>85938.098999999973</v>
      </c>
      <c r="AN17" s="9"/>
      <c r="AO17" s="9"/>
      <c r="AP17" s="84">
        <v>-280</v>
      </c>
      <c r="AQ17" s="84">
        <v>418</v>
      </c>
      <c r="AR17" s="9">
        <v>1281</v>
      </c>
      <c r="AS17" s="9">
        <v>-12934</v>
      </c>
      <c r="AT17" s="9"/>
      <c r="AU17" s="9"/>
      <c r="AV17" s="84">
        <v>8833</v>
      </c>
      <c r="AW17" s="84">
        <v>14643</v>
      </c>
      <c r="AX17" s="84">
        <v>11915</v>
      </c>
      <c r="AY17" s="84">
        <v>35631</v>
      </c>
      <c r="AZ17" s="84">
        <v>235</v>
      </c>
      <c r="BA17" s="84">
        <v>862</v>
      </c>
      <c r="BB17" s="9"/>
      <c r="BC17" s="9"/>
      <c r="BD17" s="84">
        <v>101150</v>
      </c>
      <c r="BE17" s="84">
        <v>332599</v>
      </c>
      <c r="BF17" s="84">
        <v>208666</v>
      </c>
      <c r="BG17" s="84">
        <v>473224</v>
      </c>
      <c r="BH17" s="84">
        <v>57290</v>
      </c>
      <c r="BI17" s="84">
        <v>142446</v>
      </c>
      <c r="BJ17" s="84">
        <v>49214</v>
      </c>
      <c r="BK17" s="84">
        <v>144588</v>
      </c>
      <c r="BL17" s="9"/>
      <c r="BM17" s="9"/>
      <c r="BN17" s="73">
        <f t="shared" si="2"/>
        <v>629861.86400000006</v>
      </c>
      <c r="BO17" s="73">
        <f t="shared" si="3"/>
        <v>1747571.0989999999</v>
      </c>
    </row>
    <row r="18" spans="1:67" x14ac:dyDescent="0.25">
      <c r="A18" s="23"/>
    </row>
    <row r="19" spans="1:67" x14ac:dyDescent="0.25">
      <c r="A19" s="24" t="s">
        <v>218</v>
      </c>
    </row>
    <row r="20" spans="1:67" x14ac:dyDescent="0.25">
      <c r="A20" s="3" t="s">
        <v>0</v>
      </c>
      <c r="B20" s="103" t="s">
        <v>1</v>
      </c>
      <c r="C20" s="104"/>
      <c r="D20" s="103" t="s">
        <v>282</v>
      </c>
      <c r="E20" s="104"/>
      <c r="F20" s="103" t="s">
        <v>2</v>
      </c>
      <c r="G20" s="104"/>
      <c r="H20" s="103" t="s">
        <v>3</v>
      </c>
      <c r="I20" s="104"/>
      <c r="J20" s="103" t="s">
        <v>4</v>
      </c>
      <c r="K20" s="104"/>
      <c r="L20" s="103" t="s">
        <v>283</v>
      </c>
      <c r="M20" s="104"/>
      <c r="N20" s="103" t="s">
        <v>6</v>
      </c>
      <c r="O20" s="104"/>
      <c r="P20" s="103" t="s">
        <v>5</v>
      </c>
      <c r="Q20" s="104"/>
      <c r="R20" s="103" t="s">
        <v>7</v>
      </c>
      <c r="S20" s="104"/>
      <c r="T20" s="103" t="s">
        <v>284</v>
      </c>
      <c r="U20" s="104"/>
      <c r="V20" s="103" t="s">
        <v>8</v>
      </c>
      <c r="W20" s="104"/>
      <c r="X20" s="103" t="s">
        <v>9</v>
      </c>
      <c r="Y20" s="104"/>
      <c r="Z20" s="103" t="s">
        <v>10</v>
      </c>
      <c r="AA20" s="104"/>
      <c r="AB20" s="103" t="s">
        <v>304</v>
      </c>
      <c r="AC20" s="104"/>
      <c r="AD20" s="103" t="s">
        <v>11</v>
      </c>
      <c r="AE20" s="104"/>
      <c r="AF20" s="103" t="s">
        <v>12</v>
      </c>
      <c r="AG20" s="104"/>
      <c r="AH20" s="103" t="s">
        <v>285</v>
      </c>
      <c r="AI20" s="104"/>
      <c r="AJ20" s="103" t="s">
        <v>290</v>
      </c>
      <c r="AK20" s="104"/>
      <c r="AL20" s="103" t="s">
        <v>13</v>
      </c>
      <c r="AM20" s="104"/>
      <c r="AN20" s="103" t="s">
        <v>286</v>
      </c>
      <c r="AO20" s="104"/>
      <c r="AP20" s="103" t="s">
        <v>287</v>
      </c>
      <c r="AQ20" s="104"/>
      <c r="AR20" s="103" t="s">
        <v>291</v>
      </c>
      <c r="AS20" s="104"/>
      <c r="AT20" s="103" t="s">
        <v>305</v>
      </c>
      <c r="AU20" s="104"/>
      <c r="AV20" s="103" t="s">
        <v>14</v>
      </c>
      <c r="AW20" s="104"/>
      <c r="AX20" s="103" t="s">
        <v>15</v>
      </c>
      <c r="AY20" s="104"/>
      <c r="AZ20" s="103" t="s">
        <v>16</v>
      </c>
      <c r="BA20" s="104"/>
      <c r="BB20" s="103" t="s">
        <v>17</v>
      </c>
      <c r="BC20" s="104"/>
      <c r="BD20" s="103" t="s">
        <v>18</v>
      </c>
      <c r="BE20" s="104"/>
      <c r="BF20" s="103" t="s">
        <v>288</v>
      </c>
      <c r="BG20" s="104"/>
      <c r="BH20" s="103" t="s">
        <v>289</v>
      </c>
      <c r="BI20" s="104"/>
      <c r="BJ20" s="103" t="s">
        <v>19</v>
      </c>
      <c r="BK20" s="104"/>
      <c r="BL20" s="103" t="s">
        <v>20</v>
      </c>
      <c r="BM20" s="104"/>
      <c r="BN20" s="105" t="s">
        <v>21</v>
      </c>
      <c r="BO20" s="106"/>
    </row>
    <row r="21" spans="1:67" ht="30" x14ac:dyDescent="0.25">
      <c r="A21" s="3"/>
      <c r="B21" s="57" t="s">
        <v>293</v>
      </c>
      <c r="C21" s="58" t="s">
        <v>294</v>
      </c>
      <c r="D21" s="57" t="s">
        <v>293</v>
      </c>
      <c r="E21" s="58" t="s">
        <v>294</v>
      </c>
      <c r="F21" s="57" t="s">
        <v>293</v>
      </c>
      <c r="G21" s="58" t="s">
        <v>294</v>
      </c>
      <c r="H21" s="57" t="s">
        <v>293</v>
      </c>
      <c r="I21" s="58" t="s">
        <v>294</v>
      </c>
      <c r="J21" s="57" t="s">
        <v>293</v>
      </c>
      <c r="K21" s="58" t="s">
        <v>294</v>
      </c>
      <c r="L21" s="57" t="s">
        <v>293</v>
      </c>
      <c r="M21" s="58" t="s">
        <v>294</v>
      </c>
      <c r="N21" s="57" t="s">
        <v>293</v>
      </c>
      <c r="O21" s="58" t="s">
        <v>294</v>
      </c>
      <c r="P21" s="57" t="s">
        <v>293</v>
      </c>
      <c r="Q21" s="58" t="s">
        <v>294</v>
      </c>
      <c r="R21" s="57" t="s">
        <v>293</v>
      </c>
      <c r="S21" s="58" t="s">
        <v>294</v>
      </c>
      <c r="T21" s="57" t="s">
        <v>293</v>
      </c>
      <c r="U21" s="58" t="s">
        <v>294</v>
      </c>
      <c r="V21" s="57" t="s">
        <v>293</v>
      </c>
      <c r="W21" s="58" t="s">
        <v>294</v>
      </c>
      <c r="X21" s="57" t="s">
        <v>293</v>
      </c>
      <c r="Y21" s="58" t="s">
        <v>294</v>
      </c>
      <c r="Z21" s="57" t="s">
        <v>293</v>
      </c>
      <c r="AA21" s="58" t="s">
        <v>294</v>
      </c>
      <c r="AB21" s="57" t="s">
        <v>293</v>
      </c>
      <c r="AC21" s="58" t="s">
        <v>294</v>
      </c>
      <c r="AD21" s="57" t="s">
        <v>293</v>
      </c>
      <c r="AE21" s="58" t="s">
        <v>294</v>
      </c>
      <c r="AF21" s="57" t="s">
        <v>293</v>
      </c>
      <c r="AG21" s="58" t="s">
        <v>294</v>
      </c>
      <c r="AH21" s="57" t="s">
        <v>293</v>
      </c>
      <c r="AI21" s="58" t="s">
        <v>294</v>
      </c>
      <c r="AJ21" s="57" t="s">
        <v>293</v>
      </c>
      <c r="AK21" s="58" t="s">
        <v>294</v>
      </c>
      <c r="AL21" s="57" t="s">
        <v>293</v>
      </c>
      <c r="AM21" s="58" t="s">
        <v>294</v>
      </c>
      <c r="AN21" s="57" t="s">
        <v>293</v>
      </c>
      <c r="AO21" s="58" t="s">
        <v>294</v>
      </c>
      <c r="AP21" s="57" t="s">
        <v>293</v>
      </c>
      <c r="AQ21" s="58" t="s">
        <v>294</v>
      </c>
      <c r="AR21" s="57" t="s">
        <v>293</v>
      </c>
      <c r="AS21" s="58" t="s">
        <v>294</v>
      </c>
      <c r="AT21" s="57" t="s">
        <v>293</v>
      </c>
      <c r="AU21" s="58" t="s">
        <v>294</v>
      </c>
      <c r="AV21" s="57" t="s">
        <v>293</v>
      </c>
      <c r="AW21" s="58" t="s">
        <v>294</v>
      </c>
      <c r="AX21" s="57" t="s">
        <v>293</v>
      </c>
      <c r="AY21" s="58" t="s">
        <v>294</v>
      </c>
      <c r="AZ21" s="57" t="s">
        <v>293</v>
      </c>
      <c r="BA21" s="58" t="s">
        <v>294</v>
      </c>
      <c r="BB21" s="57" t="s">
        <v>293</v>
      </c>
      <c r="BC21" s="58" t="s">
        <v>294</v>
      </c>
      <c r="BD21" s="57" t="s">
        <v>293</v>
      </c>
      <c r="BE21" s="58" t="s">
        <v>294</v>
      </c>
      <c r="BF21" s="57" t="s">
        <v>293</v>
      </c>
      <c r="BG21" s="58" t="s">
        <v>294</v>
      </c>
      <c r="BH21" s="57" t="s">
        <v>293</v>
      </c>
      <c r="BI21" s="58" t="s">
        <v>294</v>
      </c>
      <c r="BJ21" s="57" t="s">
        <v>293</v>
      </c>
      <c r="BK21" s="58" t="s">
        <v>294</v>
      </c>
      <c r="BL21" s="57" t="s">
        <v>293</v>
      </c>
      <c r="BM21" s="58" t="s">
        <v>294</v>
      </c>
      <c r="BN21" s="57" t="s">
        <v>293</v>
      </c>
      <c r="BO21" s="58" t="s">
        <v>294</v>
      </c>
    </row>
    <row r="22" spans="1:67" x14ac:dyDescent="0.25">
      <c r="A22" s="25" t="s">
        <v>225</v>
      </c>
      <c r="B22" s="84">
        <v>13097</v>
      </c>
      <c r="C22" s="84">
        <v>28171</v>
      </c>
      <c r="D22" s="9"/>
      <c r="E22" s="9"/>
      <c r="F22" s="9"/>
      <c r="G22" s="9"/>
      <c r="H22" s="84">
        <v>1125880</v>
      </c>
      <c r="I22" s="84">
        <v>2559195</v>
      </c>
      <c r="J22" s="84">
        <v>516915</v>
      </c>
      <c r="K22" s="84">
        <v>1061817</v>
      </c>
      <c r="L22" s="84">
        <v>629524</v>
      </c>
      <c r="M22" s="84">
        <v>1487491</v>
      </c>
      <c r="N22" s="9"/>
      <c r="O22" s="9"/>
      <c r="P22" s="84">
        <v>29149</v>
      </c>
      <c r="Q22" s="84">
        <v>71066</v>
      </c>
      <c r="R22" s="84">
        <v>310512</v>
      </c>
      <c r="S22" s="84">
        <v>777365</v>
      </c>
      <c r="T22" s="84">
        <v>254299</v>
      </c>
      <c r="U22" s="84">
        <v>548355</v>
      </c>
      <c r="V22" s="84">
        <f>64766+805920</f>
        <v>870686</v>
      </c>
      <c r="W22" s="84">
        <f>174565+1866255</f>
        <v>2040820</v>
      </c>
      <c r="X22" s="84">
        <v>2506620</v>
      </c>
      <c r="Y22" s="84">
        <v>5380247</v>
      </c>
      <c r="Z22" s="84">
        <v>990771</v>
      </c>
      <c r="AA22" s="84">
        <v>2545531</v>
      </c>
      <c r="AB22" s="84">
        <v>72127</v>
      </c>
      <c r="AC22" s="84">
        <v>171647</v>
      </c>
      <c r="AD22" s="84">
        <f>3805+355255</f>
        <v>359060</v>
      </c>
      <c r="AE22" s="84">
        <f>8395+766158</f>
        <v>774553</v>
      </c>
      <c r="AF22" s="84">
        <v>176359</v>
      </c>
      <c r="AG22" s="84">
        <v>415664</v>
      </c>
      <c r="AH22" s="74"/>
      <c r="AI22" s="9"/>
      <c r="AJ22" s="9"/>
      <c r="AK22" s="9"/>
      <c r="AL22" s="9">
        <v>1100032.49</v>
      </c>
      <c r="AM22" s="9">
        <v>2753879.6439999999</v>
      </c>
      <c r="AN22" s="84">
        <v>6433</v>
      </c>
      <c r="AO22" s="84">
        <v>15794</v>
      </c>
      <c r="AP22" s="84">
        <f>2346+65212</f>
        <v>67558</v>
      </c>
      <c r="AQ22" s="84">
        <f>5078+119024</f>
        <v>124102</v>
      </c>
      <c r="AR22" s="9">
        <v>795748</v>
      </c>
      <c r="AS22" s="9">
        <v>1828065</v>
      </c>
      <c r="AT22" s="9"/>
      <c r="AU22" s="9"/>
      <c r="AV22" s="84">
        <v>555079</v>
      </c>
      <c r="AW22" s="84">
        <v>1400003</v>
      </c>
      <c r="AX22" s="84">
        <v>576996</v>
      </c>
      <c r="AY22" s="84">
        <v>1153157</v>
      </c>
      <c r="AZ22" s="84">
        <v>289171</v>
      </c>
      <c r="BA22" s="84">
        <v>827439</v>
      </c>
      <c r="BB22" s="9"/>
      <c r="BC22" s="9"/>
      <c r="BD22" s="84">
        <v>1195025</v>
      </c>
      <c r="BE22" s="84">
        <v>2841544</v>
      </c>
      <c r="BF22" s="84">
        <v>2651685</v>
      </c>
      <c r="BG22" s="84">
        <v>7358228</v>
      </c>
      <c r="BH22" s="84">
        <v>881453</v>
      </c>
      <c r="BI22" s="84">
        <v>1979022</v>
      </c>
      <c r="BJ22" s="84">
        <v>1210310</v>
      </c>
      <c r="BK22" s="84">
        <v>3004204</v>
      </c>
      <c r="BL22" s="9"/>
      <c r="BM22" s="9"/>
      <c r="BN22" s="73">
        <f t="shared" ref="BN22:BN25" si="4">SUM(B22+D22+F22+H22+J22+L22+N22+P22+R22+T22+V22+X22+Z22+AB22+AD22+AF22+AH22+AJ22+AL22+AN22+AP22+AR22+AT22+AV22+AX22+AZ22+BB22+BD22+BF22+BH22+BJ22+BL22)</f>
        <v>17184489.490000002</v>
      </c>
      <c r="BO22" s="73">
        <f t="shared" ref="BO22:BO25" si="5">SUM(C22+E22+G22+I22+K22+M22+O22+Q22+S22+U22+W22+Y22+AA22+AC22+AE22+AG22+AI22+AK22+AM22+AO22+AQ22+AS22+AU22+AW22+AY22+BA22+BC22+BE22+BG22+BI22+BK22+BM22)</f>
        <v>41147359.644000001</v>
      </c>
    </row>
    <row r="23" spans="1:67" x14ac:dyDescent="0.25">
      <c r="A23" s="25" t="s">
        <v>276</v>
      </c>
      <c r="B23" s="84"/>
      <c r="C23" s="84"/>
      <c r="D23" s="9"/>
      <c r="E23" s="9"/>
      <c r="F23" s="9"/>
      <c r="G23" s="9"/>
      <c r="H23" s="84"/>
      <c r="I23" s="84"/>
      <c r="J23" s="84"/>
      <c r="K23" s="84"/>
      <c r="L23" s="84"/>
      <c r="M23" s="84"/>
      <c r="N23" s="9"/>
      <c r="O23" s="9"/>
      <c r="P23" s="84"/>
      <c r="Q23" s="84"/>
      <c r="R23" s="84"/>
      <c r="S23" s="84"/>
      <c r="T23" s="84">
        <v>63740</v>
      </c>
      <c r="U23" s="84">
        <v>129908</v>
      </c>
      <c r="V23" s="84"/>
      <c r="W23" s="84"/>
      <c r="X23" s="84">
        <v>41</v>
      </c>
      <c r="Y23" s="84">
        <v>54828</v>
      </c>
      <c r="Z23" s="84"/>
      <c r="AA23" s="84"/>
      <c r="AB23" s="84"/>
      <c r="AC23" s="84"/>
      <c r="AD23" s="84"/>
      <c r="AE23" s="84"/>
      <c r="AF23" s="84"/>
      <c r="AG23" s="84"/>
      <c r="AH23" s="74"/>
      <c r="AI23" s="9"/>
      <c r="AJ23" s="9"/>
      <c r="AK23" s="9"/>
      <c r="AL23" s="9">
        <v>9.3570000000000011</v>
      </c>
      <c r="AM23" s="9">
        <v>24.72</v>
      </c>
      <c r="AN23" s="84"/>
      <c r="AO23" s="84"/>
      <c r="AP23" s="84"/>
      <c r="AQ23" s="84"/>
      <c r="AR23" s="9"/>
      <c r="AS23" s="9"/>
      <c r="AT23" s="9"/>
      <c r="AU23" s="9"/>
      <c r="AV23" s="84"/>
      <c r="AW23" s="84"/>
      <c r="AX23" s="84"/>
      <c r="AY23" s="84"/>
      <c r="AZ23" s="84"/>
      <c r="BA23" s="84"/>
      <c r="BB23" s="9"/>
      <c r="BC23" s="9"/>
      <c r="BD23" s="84"/>
      <c r="BE23" s="84"/>
      <c r="BF23" s="84">
        <v>1434</v>
      </c>
      <c r="BG23" s="84">
        <v>4713</v>
      </c>
      <c r="BH23" s="84">
        <v>696</v>
      </c>
      <c r="BI23" s="84">
        <v>712</v>
      </c>
      <c r="BJ23" s="84">
        <v>0</v>
      </c>
      <c r="BK23" s="84">
        <v>0</v>
      </c>
      <c r="BL23" s="9"/>
      <c r="BM23" s="9"/>
      <c r="BN23" s="73">
        <f t="shared" si="4"/>
        <v>65920.357000000004</v>
      </c>
      <c r="BO23" s="73">
        <f t="shared" si="5"/>
        <v>190185.72</v>
      </c>
    </row>
    <row r="24" spans="1:67" x14ac:dyDescent="0.25">
      <c r="A24" s="25" t="s">
        <v>277</v>
      </c>
      <c r="B24" s="84">
        <v>28299</v>
      </c>
      <c r="C24" s="84">
        <v>112823</v>
      </c>
      <c r="D24" s="9"/>
      <c r="E24" s="9"/>
      <c r="F24" s="9"/>
      <c r="G24" s="9"/>
      <c r="H24" s="84">
        <v>280517</v>
      </c>
      <c r="I24" s="84">
        <v>1012922</v>
      </c>
      <c r="J24" s="84">
        <v>24954</v>
      </c>
      <c r="K24" s="84">
        <v>52031</v>
      </c>
      <c r="L24" s="84">
        <v>567791</v>
      </c>
      <c r="M24" s="84">
        <v>1297747</v>
      </c>
      <c r="N24" s="9"/>
      <c r="O24" s="9"/>
      <c r="P24" s="84">
        <v>1862</v>
      </c>
      <c r="Q24" s="84">
        <v>4124</v>
      </c>
      <c r="R24" s="84">
        <v>18818</v>
      </c>
      <c r="S24" s="84">
        <v>45411</v>
      </c>
      <c r="T24" s="84">
        <v>28914</v>
      </c>
      <c r="U24" s="84">
        <v>63335</v>
      </c>
      <c r="V24" s="84">
        <f>-595398-132683</f>
        <v>-728081</v>
      </c>
      <c r="W24" s="84">
        <f>-1348644-178322</f>
        <v>-1526966</v>
      </c>
      <c r="X24" s="84">
        <v>290968</v>
      </c>
      <c r="Y24" s="84">
        <v>901730</v>
      </c>
      <c r="Z24" s="84">
        <v>293988</v>
      </c>
      <c r="AA24" s="84">
        <v>807220</v>
      </c>
      <c r="AB24" s="84">
        <v>4280</v>
      </c>
      <c r="AC24" s="84">
        <v>10191</v>
      </c>
      <c r="AD24" s="84">
        <f>3231+13765</f>
        <v>16996</v>
      </c>
      <c r="AE24" s="84">
        <f>7255+29751</f>
        <v>37006</v>
      </c>
      <c r="AF24" s="84">
        <v>-281615</v>
      </c>
      <c r="AG24" s="84">
        <v>-770458</v>
      </c>
      <c r="AH24" s="74"/>
      <c r="AI24" s="9"/>
      <c r="AJ24" s="9"/>
      <c r="AK24" s="9"/>
      <c r="AL24" s="9">
        <v>68076.356999999989</v>
      </c>
      <c r="AM24" s="9">
        <v>172519.80799999999</v>
      </c>
      <c r="AN24" s="84">
        <v>-592</v>
      </c>
      <c r="AO24" s="84">
        <v>-1548</v>
      </c>
      <c r="AP24" s="84">
        <f>318+2981</f>
        <v>3299</v>
      </c>
      <c r="AQ24" s="84">
        <f>733+5636</f>
        <v>6369</v>
      </c>
      <c r="AR24" s="9">
        <v>816684</v>
      </c>
      <c r="AS24" s="9">
        <v>2156623</v>
      </c>
      <c r="AT24" s="9"/>
      <c r="AU24" s="9"/>
      <c r="AV24" s="84">
        <v>-169599</v>
      </c>
      <c r="AW24" s="84">
        <v>-488505</v>
      </c>
      <c r="AX24" s="84">
        <v>454620</v>
      </c>
      <c r="AY24" s="84">
        <v>789029</v>
      </c>
      <c r="AZ24" s="84">
        <v>19201</v>
      </c>
      <c r="BA24" s="84">
        <v>55144</v>
      </c>
      <c r="BB24" s="9"/>
      <c r="BC24" s="9"/>
      <c r="BD24" s="84">
        <v>313682</v>
      </c>
      <c r="BE24" s="84">
        <v>1138471</v>
      </c>
      <c r="BF24" s="84">
        <v>101921</v>
      </c>
      <c r="BG24" s="84">
        <v>259069</v>
      </c>
      <c r="BH24" s="84">
        <v>46749</v>
      </c>
      <c r="BI24" s="84">
        <v>115354</v>
      </c>
      <c r="BJ24" s="84">
        <v>60516</v>
      </c>
      <c r="BK24" s="84">
        <v>157147</v>
      </c>
      <c r="BL24" s="9"/>
      <c r="BM24" s="9"/>
      <c r="BN24" s="73">
        <f t="shared" si="4"/>
        <v>2262248.3569999998</v>
      </c>
      <c r="BO24" s="73">
        <f t="shared" si="5"/>
        <v>6406788.8080000002</v>
      </c>
    </row>
    <row r="25" spans="1:67" x14ac:dyDescent="0.25">
      <c r="A25" s="25" t="s">
        <v>226</v>
      </c>
      <c r="B25" s="84">
        <v>-15202</v>
      </c>
      <c r="C25" s="84">
        <v>-84652</v>
      </c>
      <c r="D25" s="9"/>
      <c r="E25" s="9"/>
      <c r="F25" s="9"/>
      <c r="G25" s="9"/>
      <c r="H25" s="84">
        <v>845363</v>
      </c>
      <c r="I25" s="84">
        <v>1546273</v>
      </c>
      <c r="J25" s="84">
        <v>491962</v>
      </c>
      <c r="K25" s="84">
        <v>1009787</v>
      </c>
      <c r="L25" s="84">
        <v>61733</v>
      </c>
      <c r="M25" s="84">
        <v>189744</v>
      </c>
      <c r="N25" s="9"/>
      <c r="O25" s="9"/>
      <c r="P25" s="84">
        <v>27287</v>
      </c>
      <c r="Q25" s="84">
        <v>66942</v>
      </c>
      <c r="R25" s="84">
        <v>291694</v>
      </c>
      <c r="S25" s="84">
        <v>731953</v>
      </c>
      <c r="T25" s="84">
        <v>289125</v>
      </c>
      <c r="U25" s="84">
        <v>614928</v>
      </c>
      <c r="V25" s="84">
        <f>-530632+673237</f>
        <v>142605</v>
      </c>
      <c r="W25" s="84">
        <f>-1174079+1687933</f>
        <v>513854</v>
      </c>
      <c r="X25" s="84">
        <v>2215693</v>
      </c>
      <c r="Y25" s="84">
        <v>4533345</v>
      </c>
      <c r="Z25" s="84">
        <v>696783</v>
      </c>
      <c r="AA25" s="84">
        <v>1738311</v>
      </c>
      <c r="AB25" s="84">
        <v>67847</v>
      </c>
      <c r="AC25" s="84">
        <v>161456</v>
      </c>
      <c r="AD25" s="84">
        <f>573+341490</f>
        <v>342063</v>
      </c>
      <c r="AE25" s="84">
        <f>1140+736407</f>
        <v>737547</v>
      </c>
      <c r="AF25" s="84">
        <v>-105256</v>
      </c>
      <c r="AG25" s="84">
        <v>-354794</v>
      </c>
      <c r="AH25" s="74"/>
      <c r="AI25" s="9"/>
      <c r="AJ25" s="9"/>
      <c r="AK25" s="9"/>
      <c r="AL25" s="9">
        <v>1031965.4900000001</v>
      </c>
      <c r="AM25" s="9">
        <v>2581384.5559999999</v>
      </c>
      <c r="AN25" s="84">
        <v>5841</v>
      </c>
      <c r="AO25" s="84">
        <v>14246</v>
      </c>
      <c r="AP25" s="84">
        <f>2028+62230</f>
        <v>64258</v>
      </c>
      <c r="AQ25" s="84">
        <f>4345+113388</f>
        <v>117733</v>
      </c>
      <c r="AR25" s="9">
        <v>-20936</v>
      </c>
      <c r="AS25" s="9">
        <v>-328558</v>
      </c>
      <c r="AT25" s="9"/>
      <c r="AU25" s="9"/>
      <c r="AV25" s="84">
        <v>385480</v>
      </c>
      <c r="AW25" s="84">
        <v>911498</v>
      </c>
      <c r="AX25" s="84">
        <v>122376</v>
      </c>
      <c r="AY25" s="84">
        <v>364128</v>
      </c>
      <c r="AZ25" s="84">
        <v>269970</v>
      </c>
      <c r="BA25" s="84">
        <v>772295</v>
      </c>
      <c r="BB25" s="9"/>
      <c r="BC25" s="9"/>
      <c r="BD25" s="84">
        <v>881343</v>
      </c>
      <c r="BE25" s="84">
        <v>1703073</v>
      </c>
      <c r="BF25" s="84">
        <v>2551198</v>
      </c>
      <c r="BG25" s="84">
        <v>7103872</v>
      </c>
      <c r="BH25" s="84">
        <v>835400</v>
      </c>
      <c r="BI25" s="84">
        <v>1864380</v>
      </c>
      <c r="BJ25" s="84">
        <v>1149794</v>
      </c>
      <c r="BK25" s="84">
        <v>2847057</v>
      </c>
      <c r="BL25" s="9"/>
      <c r="BM25" s="9"/>
      <c r="BN25" s="73">
        <f t="shared" si="4"/>
        <v>12628386.49</v>
      </c>
      <c r="BO25" s="73">
        <f t="shared" si="5"/>
        <v>29355802.556000002</v>
      </c>
    </row>
    <row r="26" spans="1:67" x14ac:dyDescent="0.25">
      <c r="A26" s="23"/>
    </row>
    <row r="27" spans="1:67" x14ac:dyDescent="0.25">
      <c r="A27" s="24" t="s">
        <v>219</v>
      </c>
    </row>
    <row r="28" spans="1:67" x14ac:dyDescent="0.25">
      <c r="A28" s="3" t="s">
        <v>0</v>
      </c>
      <c r="B28" s="103" t="s">
        <v>1</v>
      </c>
      <c r="C28" s="104"/>
      <c r="D28" s="103" t="s">
        <v>282</v>
      </c>
      <c r="E28" s="104"/>
      <c r="F28" s="103" t="s">
        <v>2</v>
      </c>
      <c r="G28" s="104"/>
      <c r="H28" s="103" t="s">
        <v>3</v>
      </c>
      <c r="I28" s="104"/>
      <c r="J28" s="103" t="s">
        <v>4</v>
      </c>
      <c r="K28" s="104"/>
      <c r="L28" s="103" t="s">
        <v>283</v>
      </c>
      <c r="M28" s="104"/>
      <c r="N28" s="103" t="s">
        <v>6</v>
      </c>
      <c r="O28" s="104"/>
      <c r="P28" s="103" t="s">
        <v>5</v>
      </c>
      <c r="Q28" s="104"/>
      <c r="R28" s="103" t="s">
        <v>7</v>
      </c>
      <c r="S28" s="104"/>
      <c r="T28" s="103" t="s">
        <v>284</v>
      </c>
      <c r="U28" s="104"/>
      <c r="V28" s="103" t="s">
        <v>8</v>
      </c>
      <c r="W28" s="104"/>
      <c r="X28" s="103" t="s">
        <v>9</v>
      </c>
      <c r="Y28" s="104"/>
      <c r="Z28" s="103" t="s">
        <v>10</v>
      </c>
      <c r="AA28" s="104"/>
      <c r="AB28" s="103" t="s">
        <v>304</v>
      </c>
      <c r="AC28" s="104"/>
      <c r="AD28" s="103" t="s">
        <v>11</v>
      </c>
      <c r="AE28" s="104"/>
      <c r="AF28" s="103" t="s">
        <v>12</v>
      </c>
      <c r="AG28" s="104"/>
      <c r="AH28" s="103" t="s">
        <v>285</v>
      </c>
      <c r="AI28" s="104"/>
      <c r="AJ28" s="103" t="s">
        <v>290</v>
      </c>
      <c r="AK28" s="104"/>
      <c r="AL28" s="103" t="s">
        <v>13</v>
      </c>
      <c r="AM28" s="104"/>
      <c r="AN28" s="103" t="s">
        <v>286</v>
      </c>
      <c r="AO28" s="104"/>
      <c r="AP28" s="103" t="s">
        <v>287</v>
      </c>
      <c r="AQ28" s="104"/>
      <c r="AR28" s="103" t="s">
        <v>291</v>
      </c>
      <c r="AS28" s="104"/>
      <c r="AT28" s="103" t="s">
        <v>305</v>
      </c>
      <c r="AU28" s="104"/>
      <c r="AV28" s="103" t="s">
        <v>14</v>
      </c>
      <c r="AW28" s="104"/>
      <c r="AX28" s="103" t="s">
        <v>15</v>
      </c>
      <c r="AY28" s="104"/>
      <c r="AZ28" s="103" t="s">
        <v>16</v>
      </c>
      <c r="BA28" s="104"/>
      <c r="BB28" s="103" t="s">
        <v>17</v>
      </c>
      <c r="BC28" s="104"/>
      <c r="BD28" s="103" t="s">
        <v>18</v>
      </c>
      <c r="BE28" s="104"/>
      <c r="BF28" s="103" t="s">
        <v>288</v>
      </c>
      <c r="BG28" s="104"/>
      <c r="BH28" s="103" t="s">
        <v>289</v>
      </c>
      <c r="BI28" s="104"/>
      <c r="BJ28" s="103" t="s">
        <v>19</v>
      </c>
      <c r="BK28" s="104"/>
      <c r="BL28" s="103" t="s">
        <v>20</v>
      </c>
      <c r="BM28" s="104"/>
      <c r="BN28" s="105" t="s">
        <v>21</v>
      </c>
      <c r="BO28" s="106"/>
    </row>
    <row r="29" spans="1:67" ht="30" x14ac:dyDescent="0.25">
      <c r="A29" s="3"/>
      <c r="B29" s="57" t="s">
        <v>293</v>
      </c>
      <c r="C29" s="58" t="s">
        <v>294</v>
      </c>
      <c r="D29" s="57" t="s">
        <v>293</v>
      </c>
      <c r="E29" s="58" t="s">
        <v>294</v>
      </c>
      <c r="F29" s="57" t="s">
        <v>293</v>
      </c>
      <c r="G29" s="58" t="s">
        <v>294</v>
      </c>
      <c r="H29" s="57" t="s">
        <v>293</v>
      </c>
      <c r="I29" s="58" t="s">
        <v>294</v>
      </c>
      <c r="J29" s="57" t="s">
        <v>293</v>
      </c>
      <c r="K29" s="58" t="s">
        <v>294</v>
      </c>
      <c r="L29" s="57" t="s">
        <v>293</v>
      </c>
      <c r="M29" s="58" t="s">
        <v>294</v>
      </c>
      <c r="N29" s="57" t="s">
        <v>293</v>
      </c>
      <c r="O29" s="58" t="s">
        <v>294</v>
      </c>
      <c r="P29" s="57" t="s">
        <v>293</v>
      </c>
      <c r="Q29" s="58" t="s">
        <v>294</v>
      </c>
      <c r="R29" s="57" t="s">
        <v>293</v>
      </c>
      <c r="S29" s="58" t="s">
        <v>294</v>
      </c>
      <c r="T29" s="57" t="s">
        <v>293</v>
      </c>
      <c r="U29" s="58" t="s">
        <v>294</v>
      </c>
      <c r="V29" s="57" t="s">
        <v>293</v>
      </c>
      <c r="W29" s="58" t="s">
        <v>294</v>
      </c>
      <c r="X29" s="57" t="s">
        <v>293</v>
      </c>
      <c r="Y29" s="58" t="s">
        <v>294</v>
      </c>
      <c r="Z29" s="57" t="s">
        <v>293</v>
      </c>
      <c r="AA29" s="58" t="s">
        <v>294</v>
      </c>
      <c r="AB29" s="57" t="s">
        <v>293</v>
      </c>
      <c r="AC29" s="58" t="s">
        <v>294</v>
      </c>
      <c r="AD29" s="57" t="s">
        <v>293</v>
      </c>
      <c r="AE29" s="58" t="s">
        <v>294</v>
      </c>
      <c r="AF29" s="57" t="s">
        <v>293</v>
      </c>
      <c r="AG29" s="58" t="s">
        <v>294</v>
      </c>
      <c r="AH29" s="57" t="s">
        <v>293</v>
      </c>
      <c r="AI29" s="58" t="s">
        <v>294</v>
      </c>
      <c r="AJ29" s="57" t="s">
        <v>293</v>
      </c>
      <c r="AK29" s="58" t="s">
        <v>294</v>
      </c>
      <c r="AL29" s="57" t="s">
        <v>293</v>
      </c>
      <c r="AM29" s="58" t="s">
        <v>294</v>
      </c>
      <c r="AN29" s="57" t="s">
        <v>293</v>
      </c>
      <c r="AO29" s="58" t="s">
        <v>294</v>
      </c>
      <c r="AP29" s="57" t="s">
        <v>293</v>
      </c>
      <c r="AQ29" s="58" t="s">
        <v>294</v>
      </c>
      <c r="AR29" s="57" t="s">
        <v>293</v>
      </c>
      <c r="AS29" s="58" t="s">
        <v>294</v>
      </c>
      <c r="AT29" s="57" t="s">
        <v>293</v>
      </c>
      <c r="AU29" s="58" t="s">
        <v>294</v>
      </c>
      <c r="AV29" s="57" t="s">
        <v>293</v>
      </c>
      <c r="AW29" s="58" t="s">
        <v>294</v>
      </c>
      <c r="AX29" s="57" t="s">
        <v>293</v>
      </c>
      <c r="AY29" s="58" t="s">
        <v>294</v>
      </c>
      <c r="AZ29" s="57" t="s">
        <v>293</v>
      </c>
      <c r="BA29" s="58" t="s">
        <v>294</v>
      </c>
      <c r="BB29" s="57" t="s">
        <v>293</v>
      </c>
      <c r="BC29" s="58" t="s">
        <v>294</v>
      </c>
      <c r="BD29" s="57" t="s">
        <v>293</v>
      </c>
      <c r="BE29" s="58" t="s">
        <v>294</v>
      </c>
      <c r="BF29" s="57" t="s">
        <v>293</v>
      </c>
      <c r="BG29" s="58" t="s">
        <v>294</v>
      </c>
      <c r="BH29" s="57" t="s">
        <v>293</v>
      </c>
      <c r="BI29" s="58" t="s">
        <v>294</v>
      </c>
      <c r="BJ29" s="57" t="s">
        <v>293</v>
      </c>
      <c r="BK29" s="58" t="s">
        <v>294</v>
      </c>
      <c r="BL29" s="57" t="s">
        <v>293</v>
      </c>
      <c r="BM29" s="58" t="s">
        <v>294</v>
      </c>
      <c r="BN29" s="57" t="s">
        <v>293</v>
      </c>
      <c r="BO29" s="58" t="s">
        <v>294</v>
      </c>
    </row>
    <row r="30" spans="1:67" x14ac:dyDescent="0.25">
      <c r="A30" s="25" t="s">
        <v>225</v>
      </c>
      <c r="B30" s="9"/>
      <c r="C30" s="9"/>
      <c r="D30" s="9"/>
      <c r="E30" s="9"/>
      <c r="F30" s="9"/>
      <c r="G30" s="9"/>
      <c r="H30" s="84">
        <v>39984</v>
      </c>
      <c r="I30" s="84">
        <v>127391</v>
      </c>
      <c r="J30" s="84">
        <v>8744</v>
      </c>
      <c r="K30" s="84">
        <v>23891</v>
      </c>
      <c r="L30" s="84">
        <v>6908</v>
      </c>
      <c r="M30" s="84">
        <v>20668</v>
      </c>
      <c r="N30" s="9"/>
      <c r="O30" s="9"/>
      <c r="P30" s="84">
        <v>31</v>
      </c>
      <c r="Q30" s="84">
        <v>155</v>
      </c>
      <c r="R30" s="84">
        <v>12150</v>
      </c>
      <c r="S30" s="84">
        <v>33397</v>
      </c>
      <c r="T30" s="84">
        <v>3842</v>
      </c>
      <c r="U30" s="84">
        <v>7345</v>
      </c>
      <c r="V30" s="84">
        <v>27738</v>
      </c>
      <c r="W30" s="84">
        <v>98579</v>
      </c>
      <c r="X30" s="84">
        <v>96997</v>
      </c>
      <c r="Y30" s="84">
        <v>242754</v>
      </c>
      <c r="Z30" s="84">
        <v>36372</v>
      </c>
      <c r="AA30" s="84">
        <v>95020</v>
      </c>
      <c r="AB30" s="84">
        <v>396</v>
      </c>
      <c r="AC30" s="84">
        <v>757</v>
      </c>
      <c r="AD30" s="84">
        <v>6371</v>
      </c>
      <c r="AE30" s="84">
        <v>22332</v>
      </c>
      <c r="AF30" s="84">
        <v>1440</v>
      </c>
      <c r="AG30" s="84">
        <v>4936</v>
      </c>
      <c r="AH30" s="74"/>
      <c r="AI30" s="9"/>
      <c r="AJ30" s="9"/>
      <c r="AK30" s="9"/>
      <c r="AL30" s="9">
        <v>68850.561999999991</v>
      </c>
      <c r="AM30" s="9">
        <v>196215.704</v>
      </c>
      <c r="AN30" s="9"/>
      <c r="AO30" s="9"/>
      <c r="AP30" s="84">
        <v>479</v>
      </c>
      <c r="AQ30" s="84">
        <v>837</v>
      </c>
      <c r="AR30" s="9">
        <v>17889</v>
      </c>
      <c r="AS30" s="9">
        <v>91908</v>
      </c>
      <c r="AT30" s="9"/>
      <c r="AU30" s="9"/>
      <c r="AV30" s="84">
        <v>21047</v>
      </c>
      <c r="AW30" s="84">
        <v>56828</v>
      </c>
      <c r="AX30" s="84">
        <v>7459</v>
      </c>
      <c r="AY30" s="84">
        <v>22696</v>
      </c>
      <c r="AZ30" s="84">
        <v>3628</v>
      </c>
      <c r="BA30" s="84">
        <v>10262</v>
      </c>
      <c r="BB30" s="9"/>
      <c r="BC30" s="9"/>
      <c r="BD30" s="84">
        <v>18817</v>
      </c>
      <c r="BE30" s="84">
        <v>46361</v>
      </c>
      <c r="BF30" s="84">
        <v>239581</v>
      </c>
      <c r="BG30" s="84">
        <v>596031</v>
      </c>
      <c r="BH30" s="84">
        <v>48459</v>
      </c>
      <c r="BI30" s="84">
        <v>153136</v>
      </c>
      <c r="BJ30" s="84">
        <v>81686</v>
      </c>
      <c r="BK30" s="84">
        <v>239232</v>
      </c>
      <c r="BL30" s="9"/>
      <c r="BM30" s="9"/>
      <c r="BN30" s="73">
        <f t="shared" ref="BN30:BN33" si="6">SUM(B30+D30+F30+H30+J30+L30+N30+P30+R30+T30+V30+X30+Z30+AB30+AD30+AF30+AH30+AJ30+AL30+AN30+AP30+AR30+AT30+AV30+AX30+AZ30+BB30+BD30+BF30+BH30+BJ30+BL30)</f>
        <v>748868.56199999992</v>
      </c>
      <c r="BO30" s="73">
        <f t="shared" ref="BO30:BO33" si="7">SUM(C30+E30+G30+I30+K30+M30+O30+Q30+S30+U30+W30+Y30+AA30+AC30+AE30+AG30+AI30+AK30+AM30+AO30+AQ30+AS30+AU30+AW30+AY30+BA30+BC30+BE30+BG30+BI30+BK30+BM30)</f>
        <v>2090731.7039999999</v>
      </c>
    </row>
    <row r="31" spans="1:67" x14ac:dyDescent="0.25">
      <c r="A31" s="25" t="s">
        <v>276</v>
      </c>
      <c r="B31" s="9"/>
      <c r="C31" s="9"/>
      <c r="D31" s="9"/>
      <c r="E31" s="9"/>
      <c r="F31" s="9"/>
      <c r="G31" s="9"/>
      <c r="H31" s="84">
        <v>1432</v>
      </c>
      <c r="I31" s="84">
        <v>4352</v>
      </c>
      <c r="J31" s="84">
        <v>163</v>
      </c>
      <c r="K31" s="84">
        <v>661</v>
      </c>
      <c r="L31" s="84">
        <v>94</v>
      </c>
      <c r="M31" s="84">
        <v>193</v>
      </c>
      <c r="N31" s="9"/>
      <c r="O31" s="9"/>
      <c r="P31" s="84">
        <v>137</v>
      </c>
      <c r="Q31" s="84">
        <v>417</v>
      </c>
      <c r="R31" s="84">
        <v>1514</v>
      </c>
      <c r="S31" s="84">
        <v>2802</v>
      </c>
      <c r="T31" s="84">
        <v>-765</v>
      </c>
      <c r="U31" s="84">
        <v>2272</v>
      </c>
      <c r="V31" s="84">
        <v>2181</v>
      </c>
      <c r="W31" s="84">
        <v>4839</v>
      </c>
      <c r="X31" s="84">
        <v>9198</v>
      </c>
      <c r="Y31" s="84">
        <v>36819</v>
      </c>
      <c r="Z31" s="84">
        <v>1081</v>
      </c>
      <c r="AA31" s="84">
        <v>4244</v>
      </c>
      <c r="AB31" s="84">
        <v>24</v>
      </c>
      <c r="AC31" s="84">
        <v>72</v>
      </c>
      <c r="AD31" s="84">
        <v>50</v>
      </c>
      <c r="AE31" s="84">
        <v>170</v>
      </c>
      <c r="AF31" s="84">
        <v>523</v>
      </c>
      <c r="AG31" s="84">
        <v>1325</v>
      </c>
      <c r="AH31" s="74"/>
      <c r="AI31" s="9"/>
      <c r="AJ31" s="9"/>
      <c r="AK31" s="9"/>
      <c r="AL31" s="9">
        <v>7833.148000000001</v>
      </c>
      <c r="AM31" s="9">
        <v>36735.728999999999</v>
      </c>
      <c r="AN31" s="84">
        <v>25</v>
      </c>
      <c r="AO31" s="84">
        <v>77</v>
      </c>
      <c r="AP31" s="84">
        <v>2</v>
      </c>
      <c r="AQ31" s="84">
        <v>19</v>
      </c>
      <c r="AR31" s="9">
        <v>1034</v>
      </c>
      <c r="AS31" s="9">
        <v>2470</v>
      </c>
      <c r="AT31" s="9"/>
      <c r="AU31" s="9"/>
      <c r="AV31" s="84">
        <v>2404</v>
      </c>
      <c r="AW31" s="84">
        <v>3753</v>
      </c>
      <c r="AX31" s="84">
        <v>214</v>
      </c>
      <c r="AY31" s="84">
        <v>651</v>
      </c>
      <c r="AZ31" s="84">
        <v>254</v>
      </c>
      <c r="BA31" s="84">
        <v>879</v>
      </c>
      <c r="BB31" s="9"/>
      <c r="BC31" s="9"/>
      <c r="BD31" s="84">
        <v>1930</v>
      </c>
      <c r="BE31" s="84">
        <v>7382</v>
      </c>
      <c r="BF31" s="84">
        <v>19799</v>
      </c>
      <c r="BG31" s="84">
        <v>68812</v>
      </c>
      <c r="BH31" s="84">
        <v>23252</v>
      </c>
      <c r="BI31" s="84">
        <v>45489</v>
      </c>
      <c r="BJ31" s="84">
        <v>13896</v>
      </c>
      <c r="BK31" s="84">
        <v>25642</v>
      </c>
      <c r="BL31" s="9"/>
      <c r="BM31" s="9"/>
      <c r="BN31" s="73">
        <f t="shared" si="6"/>
        <v>86275.148000000001</v>
      </c>
      <c r="BO31" s="73">
        <f t="shared" si="7"/>
        <v>250075.72899999999</v>
      </c>
    </row>
    <row r="32" spans="1:67" x14ac:dyDescent="0.25">
      <c r="A32" s="25" t="s">
        <v>277</v>
      </c>
      <c r="B32" s="9"/>
      <c r="C32" s="9"/>
      <c r="D32" s="9"/>
      <c r="E32" s="9"/>
      <c r="F32" s="9"/>
      <c r="G32" s="9"/>
      <c r="H32" s="84">
        <v>59233</v>
      </c>
      <c r="I32" s="84">
        <v>228079</v>
      </c>
      <c r="J32" s="84">
        <v>15313</v>
      </c>
      <c r="K32" s="84">
        <v>32353</v>
      </c>
      <c r="L32" s="84">
        <v>5882</v>
      </c>
      <c r="M32" s="84">
        <v>19528</v>
      </c>
      <c r="N32" s="9"/>
      <c r="O32" s="9"/>
      <c r="P32" s="84">
        <v>409</v>
      </c>
      <c r="Q32" s="84">
        <v>578</v>
      </c>
      <c r="R32" s="84">
        <v>24718</v>
      </c>
      <c r="S32" s="84">
        <v>62719</v>
      </c>
      <c r="T32" s="84">
        <v>2714</v>
      </c>
      <c r="U32" s="84">
        <v>7763</v>
      </c>
      <c r="V32" s="84">
        <v>-57035</v>
      </c>
      <c r="W32" s="84">
        <v>-229812</v>
      </c>
      <c r="X32" s="84">
        <v>125131</v>
      </c>
      <c r="Y32" s="84">
        <v>365550</v>
      </c>
      <c r="Z32" s="84">
        <v>93977</v>
      </c>
      <c r="AA32" s="84">
        <v>135112</v>
      </c>
      <c r="AB32" s="84">
        <v>500</v>
      </c>
      <c r="AC32" s="84">
        <v>847</v>
      </c>
      <c r="AD32" s="84">
        <v>9253</v>
      </c>
      <c r="AE32" s="84">
        <v>30398</v>
      </c>
      <c r="AF32" s="84">
        <v>-2578</v>
      </c>
      <c r="AG32" s="84">
        <v>-8432</v>
      </c>
      <c r="AH32" s="74"/>
      <c r="AI32" s="9"/>
      <c r="AJ32" s="9"/>
      <c r="AK32" s="9"/>
      <c r="AL32" s="9">
        <v>21737.190000000002</v>
      </c>
      <c r="AM32" s="9">
        <v>94844.44</v>
      </c>
      <c r="AN32" s="84"/>
      <c r="AO32" s="84"/>
      <c r="AP32" s="84">
        <v>475</v>
      </c>
      <c r="AQ32" s="84">
        <v>880</v>
      </c>
      <c r="AR32" s="9">
        <v>20095</v>
      </c>
      <c r="AS32" s="9">
        <v>48280</v>
      </c>
      <c r="AT32" s="9"/>
      <c r="AU32" s="9"/>
      <c r="AV32" s="84">
        <v>-41981</v>
      </c>
      <c r="AW32" s="84">
        <v>-116711</v>
      </c>
      <c r="AX32" s="84">
        <v>13264</v>
      </c>
      <c r="AY32" s="84">
        <v>62108</v>
      </c>
      <c r="AZ32" s="84">
        <v>3352</v>
      </c>
      <c r="BA32" s="84">
        <v>9982</v>
      </c>
      <c r="BB32" s="9"/>
      <c r="BC32" s="9"/>
      <c r="BD32" s="84">
        <v>42803</v>
      </c>
      <c r="BE32" s="84">
        <v>136390</v>
      </c>
      <c r="BF32" s="84">
        <v>128507</v>
      </c>
      <c r="BG32" s="84">
        <v>375940</v>
      </c>
      <c r="BH32" s="84">
        <v>732</v>
      </c>
      <c r="BI32" s="84">
        <v>90564</v>
      </c>
      <c r="BJ32" s="84">
        <v>27903</v>
      </c>
      <c r="BK32" s="84">
        <v>104225</v>
      </c>
      <c r="BL32" s="9"/>
      <c r="BM32" s="9"/>
      <c r="BN32" s="73">
        <f t="shared" si="6"/>
        <v>494404.19</v>
      </c>
      <c r="BO32" s="73">
        <f t="shared" si="7"/>
        <v>1451185.44</v>
      </c>
    </row>
    <row r="33" spans="1:67" x14ac:dyDescent="0.25">
      <c r="A33" s="25" t="s">
        <v>226</v>
      </c>
      <c r="B33" s="9"/>
      <c r="C33" s="9"/>
      <c r="D33" s="9"/>
      <c r="E33" s="9"/>
      <c r="F33" s="9"/>
      <c r="G33" s="9"/>
      <c r="H33" s="84">
        <v>-17817</v>
      </c>
      <c r="I33" s="84">
        <v>-96336</v>
      </c>
      <c r="J33" s="84">
        <v>-6406</v>
      </c>
      <c r="K33" s="84">
        <v>-7801</v>
      </c>
      <c r="L33" s="84">
        <v>1120</v>
      </c>
      <c r="M33" s="84">
        <v>1333</v>
      </c>
      <c r="N33" s="9"/>
      <c r="O33" s="9"/>
      <c r="P33" s="84">
        <v>-241</v>
      </c>
      <c r="Q33" s="84">
        <v>-6</v>
      </c>
      <c r="R33" s="84">
        <v>-11054</v>
      </c>
      <c r="S33" s="84">
        <v>-26520</v>
      </c>
      <c r="T33" s="84">
        <v>362</v>
      </c>
      <c r="U33" s="84">
        <v>1854</v>
      </c>
      <c r="V33" s="84">
        <v>-27116</v>
      </c>
      <c r="W33" s="84">
        <v>-126396</v>
      </c>
      <c r="X33" s="84">
        <v>-18936</v>
      </c>
      <c r="Y33" s="84">
        <v>-85977</v>
      </c>
      <c r="Z33" s="84">
        <v>-56524</v>
      </c>
      <c r="AA33" s="84">
        <v>-35848</v>
      </c>
      <c r="AB33" s="84">
        <v>-80</v>
      </c>
      <c r="AC33" s="84">
        <v>-18</v>
      </c>
      <c r="AD33" s="84">
        <v>-2832</v>
      </c>
      <c r="AE33" s="84">
        <v>-7897</v>
      </c>
      <c r="AF33" s="84">
        <v>-615</v>
      </c>
      <c r="AG33" s="84">
        <v>-2171</v>
      </c>
      <c r="AH33" s="74"/>
      <c r="AI33" s="9"/>
      <c r="AJ33" s="9"/>
      <c r="AK33" s="9"/>
      <c r="AL33" s="9">
        <v>54946.51999999999</v>
      </c>
      <c r="AM33" s="9">
        <v>138106.99299999999</v>
      </c>
      <c r="AN33" s="84">
        <v>25</v>
      </c>
      <c r="AO33" s="84">
        <v>77</v>
      </c>
      <c r="AP33" s="84">
        <v>7</v>
      </c>
      <c r="AQ33" s="84">
        <v>-24</v>
      </c>
      <c r="AR33" s="9">
        <v>-1172</v>
      </c>
      <c r="AS33" s="9">
        <v>46098</v>
      </c>
      <c r="AT33" s="9"/>
      <c r="AU33" s="9"/>
      <c r="AV33" s="84">
        <v>-18530</v>
      </c>
      <c r="AW33" s="84">
        <v>-56130</v>
      </c>
      <c r="AX33" s="84">
        <v>-5591</v>
      </c>
      <c r="AY33" s="84">
        <v>-38761</v>
      </c>
      <c r="AZ33" s="84">
        <v>530</v>
      </c>
      <c r="BA33" s="84">
        <v>1159</v>
      </c>
      <c r="BB33" s="9"/>
      <c r="BC33" s="9"/>
      <c r="BD33" s="84">
        <v>-22056</v>
      </c>
      <c r="BE33" s="84">
        <v>-82647</v>
      </c>
      <c r="BF33" s="84">
        <v>130872</v>
      </c>
      <c r="BG33" s="84">
        <v>288903</v>
      </c>
      <c r="BH33" s="84">
        <v>70979</v>
      </c>
      <c r="BI33" s="84">
        <v>108061</v>
      </c>
      <c r="BJ33" s="84">
        <v>67679</v>
      </c>
      <c r="BK33" s="84">
        <v>160649</v>
      </c>
      <c r="BL33" s="9"/>
      <c r="BM33" s="9"/>
      <c r="BN33" s="73">
        <f t="shared" si="6"/>
        <v>137550.51999999999</v>
      </c>
      <c r="BO33" s="73">
        <f t="shared" si="7"/>
        <v>179708.99300000002</v>
      </c>
    </row>
    <row r="34" spans="1:67" x14ac:dyDescent="0.25">
      <c r="A34" s="23"/>
    </row>
    <row r="35" spans="1:67" x14ac:dyDescent="0.25">
      <c r="A35" s="24" t="s">
        <v>220</v>
      </c>
    </row>
    <row r="36" spans="1:67" x14ac:dyDescent="0.25">
      <c r="A36" s="3" t="s">
        <v>0</v>
      </c>
      <c r="B36" s="103" t="s">
        <v>1</v>
      </c>
      <c r="C36" s="104"/>
      <c r="D36" s="103" t="s">
        <v>282</v>
      </c>
      <c r="E36" s="104"/>
      <c r="F36" s="103" t="s">
        <v>2</v>
      </c>
      <c r="G36" s="104"/>
      <c r="H36" s="103" t="s">
        <v>3</v>
      </c>
      <c r="I36" s="104"/>
      <c r="J36" s="103" t="s">
        <v>4</v>
      </c>
      <c r="K36" s="104"/>
      <c r="L36" s="103" t="s">
        <v>283</v>
      </c>
      <c r="M36" s="104"/>
      <c r="N36" s="103" t="s">
        <v>6</v>
      </c>
      <c r="O36" s="104"/>
      <c r="P36" s="103" t="s">
        <v>5</v>
      </c>
      <c r="Q36" s="104"/>
      <c r="R36" s="103" t="s">
        <v>7</v>
      </c>
      <c r="S36" s="104"/>
      <c r="T36" s="103" t="s">
        <v>284</v>
      </c>
      <c r="U36" s="104"/>
      <c r="V36" s="103" t="s">
        <v>8</v>
      </c>
      <c r="W36" s="104"/>
      <c r="X36" s="103" t="s">
        <v>9</v>
      </c>
      <c r="Y36" s="104"/>
      <c r="Z36" s="103" t="s">
        <v>10</v>
      </c>
      <c r="AA36" s="104"/>
      <c r="AB36" s="103" t="s">
        <v>304</v>
      </c>
      <c r="AC36" s="104"/>
      <c r="AD36" s="103" t="s">
        <v>11</v>
      </c>
      <c r="AE36" s="104"/>
      <c r="AF36" s="103" t="s">
        <v>12</v>
      </c>
      <c r="AG36" s="104"/>
      <c r="AH36" s="103" t="s">
        <v>285</v>
      </c>
      <c r="AI36" s="104"/>
      <c r="AJ36" s="103" t="s">
        <v>290</v>
      </c>
      <c r="AK36" s="104"/>
      <c r="AL36" s="103" t="s">
        <v>13</v>
      </c>
      <c r="AM36" s="104"/>
      <c r="AN36" s="103" t="s">
        <v>286</v>
      </c>
      <c r="AO36" s="104"/>
      <c r="AP36" s="103" t="s">
        <v>287</v>
      </c>
      <c r="AQ36" s="104"/>
      <c r="AR36" s="103" t="s">
        <v>291</v>
      </c>
      <c r="AS36" s="104"/>
      <c r="AT36" s="103" t="s">
        <v>305</v>
      </c>
      <c r="AU36" s="104"/>
      <c r="AV36" s="103" t="s">
        <v>14</v>
      </c>
      <c r="AW36" s="104"/>
      <c r="AX36" s="103" t="s">
        <v>15</v>
      </c>
      <c r="AY36" s="104"/>
      <c r="AZ36" s="103" t="s">
        <v>16</v>
      </c>
      <c r="BA36" s="104"/>
      <c r="BB36" s="103" t="s">
        <v>17</v>
      </c>
      <c r="BC36" s="104"/>
      <c r="BD36" s="103" t="s">
        <v>18</v>
      </c>
      <c r="BE36" s="104"/>
      <c r="BF36" s="103" t="s">
        <v>288</v>
      </c>
      <c r="BG36" s="104"/>
      <c r="BH36" s="103" t="s">
        <v>289</v>
      </c>
      <c r="BI36" s="104"/>
      <c r="BJ36" s="103" t="s">
        <v>19</v>
      </c>
      <c r="BK36" s="104"/>
      <c r="BL36" s="103" t="s">
        <v>20</v>
      </c>
      <c r="BM36" s="104"/>
      <c r="BN36" s="105" t="s">
        <v>21</v>
      </c>
      <c r="BO36" s="106"/>
    </row>
    <row r="37" spans="1:67" ht="30" x14ac:dyDescent="0.25">
      <c r="A37" s="3"/>
      <c r="B37" s="57" t="s">
        <v>293</v>
      </c>
      <c r="C37" s="58" t="s">
        <v>294</v>
      </c>
      <c r="D37" s="57" t="s">
        <v>293</v>
      </c>
      <c r="E37" s="58" t="s">
        <v>294</v>
      </c>
      <c r="F37" s="57" t="s">
        <v>293</v>
      </c>
      <c r="G37" s="58" t="s">
        <v>294</v>
      </c>
      <c r="H37" s="57" t="s">
        <v>293</v>
      </c>
      <c r="I37" s="58" t="s">
        <v>294</v>
      </c>
      <c r="J37" s="57" t="s">
        <v>293</v>
      </c>
      <c r="K37" s="58" t="s">
        <v>294</v>
      </c>
      <c r="L37" s="57" t="s">
        <v>293</v>
      </c>
      <c r="M37" s="58" t="s">
        <v>294</v>
      </c>
      <c r="N37" s="57" t="s">
        <v>293</v>
      </c>
      <c r="O37" s="58" t="s">
        <v>294</v>
      </c>
      <c r="P37" s="57" t="s">
        <v>293</v>
      </c>
      <c r="Q37" s="58" t="s">
        <v>294</v>
      </c>
      <c r="R37" s="57" t="s">
        <v>293</v>
      </c>
      <c r="S37" s="58" t="s">
        <v>294</v>
      </c>
      <c r="T37" s="57" t="s">
        <v>293</v>
      </c>
      <c r="U37" s="58" t="s">
        <v>294</v>
      </c>
      <c r="V37" s="57" t="s">
        <v>293</v>
      </c>
      <c r="W37" s="58" t="s">
        <v>294</v>
      </c>
      <c r="X37" s="57" t="s">
        <v>293</v>
      </c>
      <c r="Y37" s="58" t="s">
        <v>294</v>
      </c>
      <c r="Z37" s="57" t="s">
        <v>293</v>
      </c>
      <c r="AA37" s="58" t="s">
        <v>294</v>
      </c>
      <c r="AB37" s="57" t="s">
        <v>293</v>
      </c>
      <c r="AC37" s="58" t="s">
        <v>294</v>
      </c>
      <c r="AD37" s="57" t="s">
        <v>293</v>
      </c>
      <c r="AE37" s="58" t="s">
        <v>294</v>
      </c>
      <c r="AF37" s="57" t="s">
        <v>293</v>
      </c>
      <c r="AG37" s="58" t="s">
        <v>294</v>
      </c>
      <c r="AH37" s="57" t="s">
        <v>293</v>
      </c>
      <c r="AI37" s="58" t="s">
        <v>294</v>
      </c>
      <c r="AJ37" s="57" t="s">
        <v>293</v>
      </c>
      <c r="AK37" s="58" t="s">
        <v>294</v>
      </c>
      <c r="AL37" s="57" t="s">
        <v>293</v>
      </c>
      <c r="AM37" s="58" t="s">
        <v>294</v>
      </c>
      <c r="AN37" s="57" t="s">
        <v>293</v>
      </c>
      <c r="AO37" s="58" t="s">
        <v>294</v>
      </c>
      <c r="AP37" s="57" t="s">
        <v>293</v>
      </c>
      <c r="AQ37" s="58" t="s">
        <v>294</v>
      </c>
      <c r="AR37" s="57" t="s">
        <v>293</v>
      </c>
      <c r="AS37" s="58" t="s">
        <v>294</v>
      </c>
      <c r="AT37" s="57" t="s">
        <v>293</v>
      </c>
      <c r="AU37" s="58" t="s">
        <v>294</v>
      </c>
      <c r="AV37" s="57" t="s">
        <v>293</v>
      </c>
      <c r="AW37" s="58" t="s">
        <v>294</v>
      </c>
      <c r="AX37" s="57" t="s">
        <v>293</v>
      </c>
      <c r="AY37" s="58" t="s">
        <v>294</v>
      </c>
      <c r="AZ37" s="57" t="s">
        <v>293</v>
      </c>
      <c r="BA37" s="58" t="s">
        <v>294</v>
      </c>
      <c r="BB37" s="57" t="s">
        <v>293</v>
      </c>
      <c r="BC37" s="58" t="s">
        <v>294</v>
      </c>
      <c r="BD37" s="57" t="s">
        <v>293</v>
      </c>
      <c r="BE37" s="58" t="s">
        <v>294</v>
      </c>
      <c r="BF37" s="57" t="s">
        <v>293</v>
      </c>
      <c r="BG37" s="58" t="s">
        <v>294</v>
      </c>
      <c r="BH37" s="57" t="s">
        <v>293</v>
      </c>
      <c r="BI37" s="58" t="s">
        <v>294</v>
      </c>
      <c r="BJ37" s="57" t="s">
        <v>293</v>
      </c>
      <c r="BK37" s="58" t="s">
        <v>294</v>
      </c>
      <c r="BL37" s="57" t="s">
        <v>293</v>
      </c>
      <c r="BM37" s="58" t="s">
        <v>294</v>
      </c>
      <c r="BN37" s="57" t="s">
        <v>293</v>
      </c>
      <c r="BO37" s="58" t="s">
        <v>294</v>
      </c>
    </row>
    <row r="38" spans="1:67" x14ac:dyDescent="0.25">
      <c r="A38" s="25" t="s">
        <v>225</v>
      </c>
      <c r="B38" s="84">
        <v>7307</v>
      </c>
      <c r="C38" s="84">
        <v>20385</v>
      </c>
      <c r="D38" s="84">
        <v>324720</v>
      </c>
      <c r="E38" s="84">
        <v>969796</v>
      </c>
      <c r="F38" s="9"/>
      <c r="G38" s="9"/>
      <c r="H38" s="84">
        <v>365349</v>
      </c>
      <c r="I38" s="84">
        <v>1183255</v>
      </c>
      <c r="J38" s="84">
        <v>110117</v>
      </c>
      <c r="K38" s="84">
        <v>279187</v>
      </c>
      <c r="L38" s="84">
        <v>105762</v>
      </c>
      <c r="M38" s="84">
        <v>350513</v>
      </c>
      <c r="N38" s="9"/>
      <c r="O38" s="9"/>
      <c r="P38" s="84">
        <v>17063</v>
      </c>
      <c r="Q38" s="84">
        <v>48319</v>
      </c>
      <c r="R38" s="84">
        <v>52225</v>
      </c>
      <c r="S38" s="84">
        <v>160780</v>
      </c>
      <c r="T38" s="84">
        <v>9102</v>
      </c>
      <c r="U38" s="84">
        <v>92917</v>
      </c>
      <c r="V38" s="84">
        <v>1160077</v>
      </c>
      <c r="W38" s="84">
        <v>3274103</v>
      </c>
      <c r="X38" s="84">
        <v>532841</v>
      </c>
      <c r="Y38" s="84">
        <v>1690395</v>
      </c>
      <c r="Z38" s="84">
        <v>153951</v>
      </c>
      <c r="AA38" s="84">
        <v>629442</v>
      </c>
      <c r="AB38" s="84">
        <v>30916</v>
      </c>
      <c r="AC38" s="84">
        <v>108158</v>
      </c>
      <c r="AD38" s="84">
        <v>25424</v>
      </c>
      <c r="AE38" s="84">
        <v>134287</v>
      </c>
      <c r="AF38" s="84">
        <v>14039</v>
      </c>
      <c r="AG38" s="84">
        <v>46214</v>
      </c>
      <c r="AH38" s="74">
        <v>216253</v>
      </c>
      <c r="AI38" s="84">
        <v>612979</v>
      </c>
      <c r="AJ38" s="84">
        <v>494384</v>
      </c>
      <c r="AK38" s="84">
        <v>1333840</v>
      </c>
      <c r="AL38" s="9">
        <v>1100238.5280000002</v>
      </c>
      <c r="AM38" s="9">
        <v>2782360.14</v>
      </c>
      <c r="AN38" s="84">
        <v>10229</v>
      </c>
      <c r="AO38" s="84">
        <v>18767</v>
      </c>
      <c r="AP38" s="84">
        <v>22612</v>
      </c>
      <c r="AQ38" s="84">
        <v>23196</v>
      </c>
      <c r="AR38" s="9">
        <v>115445</v>
      </c>
      <c r="AS38" s="9">
        <v>413412</v>
      </c>
      <c r="AT38" s="84">
        <v>789802</v>
      </c>
      <c r="AU38" s="84">
        <v>2222245</v>
      </c>
      <c r="AV38" s="84">
        <v>96912</v>
      </c>
      <c r="AW38" s="84">
        <v>293013</v>
      </c>
      <c r="AX38" s="84">
        <v>218599</v>
      </c>
      <c r="AY38" s="84">
        <v>621907</v>
      </c>
      <c r="AZ38" s="84">
        <v>2364</v>
      </c>
      <c r="BA38" s="84">
        <v>2714</v>
      </c>
      <c r="BB38" s="9"/>
      <c r="BC38" s="9"/>
      <c r="BD38" s="84">
        <v>297993</v>
      </c>
      <c r="BE38" s="84">
        <v>889306</v>
      </c>
      <c r="BF38" s="84">
        <v>1589258</v>
      </c>
      <c r="BG38" s="84">
        <v>4957166</v>
      </c>
      <c r="BH38" s="84">
        <v>945122</v>
      </c>
      <c r="BI38" s="84">
        <v>2756776</v>
      </c>
      <c r="BJ38" s="84">
        <v>721119</v>
      </c>
      <c r="BK38" s="84">
        <v>2161883</v>
      </c>
      <c r="BL38" s="9"/>
      <c r="BM38" s="9"/>
      <c r="BN38" s="73">
        <f t="shared" ref="BN38:BN41" si="8">SUM(B38+D38+F38+H38+J38+L38+N38+P38+R38+T38+V38+X38+Z38+AB38+AD38+AF38+AH38+AJ38+AL38+AN38+AP38+AR38+AT38+AV38+AX38+AZ38+BB38+BD38+BF38+BH38+BJ38+BL38)</f>
        <v>9529223.5280000009</v>
      </c>
      <c r="BO38" s="73">
        <f t="shared" ref="BO38:BO41" si="9">SUM(C38+E38+G38+I38+K38+M38+O38+Q38+S38+U38+W38+Y38+AA38+AC38+AE38+AG38+AI38+AK38+AM38+AO38+AQ38+AS38+AU38+AW38+AY38+BA38+BC38+BE38+BG38+BI38+BK38+BM38)</f>
        <v>28077315.140000001</v>
      </c>
    </row>
    <row r="39" spans="1:67" x14ac:dyDescent="0.25">
      <c r="A39" s="25" t="s">
        <v>276</v>
      </c>
      <c r="B39" s="84"/>
      <c r="C39" s="84"/>
      <c r="D39" s="84"/>
      <c r="E39" s="84"/>
      <c r="F39" s="9"/>
      <c r="G39" s="9"/>
      <c r="H39" s="84"/>
      <c r="I39" s="84"/>
      <c r="J39" s="84"/>
      <c r="K39" s="84"/>
      <c r="L39" s="84"/>
      <c r="M39" s="84"/>
      <c r="N39" s="9"/>
      <c r="O39" s="9"/>
      <c r="P39" s="84">
        <v>95</v>
      </c>
      <c r="Q39" s="84">
        <v>152</v>
      </c>
      <c r="R39" s="84"/>
      <c r="S39" s="84"/>
      <c r="T39" s="84"/>
      <c r="U39" s="84"/>
      <c r="V39" s="84"/>
      <c r="W39" s="84"/>
      <c r="X39" s="84">
        <v>73491</v>
      </c>
      <c r="Y39" s="84">
        <v>104239</v>
      </c>
      <c r="Z39" s="84"/>
      <c r="AA39" s="84"/>
      <c r="AB39" s="84"/>
      <c r="AC39" s="84"/>
      <c r="AD39" s="84"/>
      <c r="AE39" s="84"/>
      <c r="AF39" s="84"/>
      <c r="AG39" s="84"/>
      <c r="AH39" s="74"/>
      <c r="AI39" s="84"/>
      <c r="AJ39" s="84"/>
      <c r="AK39" s="84"/>
      <c r="AL39" s="9">
        <v>0</v>
      </c>
      <c r="AM39" s="9">
        <v>0</v>
      </c>
      <c r="AN39" s="84"/>
      <c r="AO39" s="84"/>
      <c r="AP39" s="84"/>
      <c r="AQ39" s="84"/>
      <c r="AR39" s="9"/>
      <c r="AS39" s="9"/>
      <c r="AT39" s="84">
        <v>413</v>
      </c>
      <c r="AU39" s="84">
        <v>2174</v>
      </c>
      <c r="AV39" s="84"/>
      <c r="AW39" s="84"/>
      <c r="AX39" s="84"/>
      <c r="AY39" s="84">
        <v>10418</v>
      </c>
      <c r="AZ39" s="84"/>
      <c r="BA39" s="84"/>
      <c r="BB39" s="9"/>
      <c r="BC39" s="9"/>
      <c r="BD39" s="84"/>
      <c r="BE39" s="84"/>
      <c r="BF39" s="84">
        <v>41769</v>
      </c>
      <c r="BG39" s="84">
        <v>55825</v>
      </c>
      <c r="BH39" s="84">
        <v>5</v>
      </c>
      <c r="BI39" s="84">
        <v>-935</v>
      </c>
      <c r="BJ39" s="84">
        <v>0</v>
      </c>
      <c r="BK39" s="84">
        <v>0</v>
      </c>
      <c r="BL39" s="9"/>
      <c r="BM39" s="9"/>
      <c r="BN39" s="73">
        <f t="shared" si="8"/>
        <v>115773</v>
      </c>
      <c r="BO39" s="73">
        <f t="shared" si="9"/>
        <v>171873</v>
      </c>
    </row>
    <row r="40" spans="1:67" x14ac:dyDescent="0.25">
      <c r="A40" s="25" t="s">
        <v>277</v>
      </c>
      <c r="B40" s="84">
        <v>1401</v>
      </c>
      <c r="C40" s="84">
        <v>3263</v>
      </c>
      <c r="D40" s="84">
        <v>187733</v>
      </c>
      <c r="E40" s="84">
        <v>612255</v>
      </c>
      <c r="F40" s="9"/>
      <c r="G40" s="9"/>
      <c r="H40" s="84">
        <v>361008</v>
      </c>
      <c r="I40" s="84">
        <v>607449</v>
      </c>
      <c r="J40" s="84">
        <v>164769</v>
      </c>
      <c r="K40" s="84">
        <v>283652</v>
      </c>
      <c r="L40" s="84">
        <v>-60359</v>
      </c>
      <c r="M40" s="84">
        <v>33930</v>
      </c>
      <c r="N40" s="9"/>
      <c r="O40" s="9"/>
      <c r="P40" s="84">
        <v>6983</v>
      </c>
      <c r="Q40" s="84">
        <v>11297</v>
      </c>
      <c r="R40" s="84">
        <v>87138</v>
      </c>
      <c r="S40" s="84">
        <v>127802</v>
      </c>
      <c r="T40" s="84">
        <v>3390</v>
      </c>
      <c r="U40" s="84">
        <v>46896</v>
      </c>
      <c r="V40" s="84">
        <v>-1200999</v>
      </c>
      <c r="W40" s="84">
        <v>-3326350</v>
      </c>
      <c r="X40" s="84">
        <v>650900</v>
      </c>
      <c r="Y40" s="84">
        <v>1594335</v>
      </c>
      <c r="Z40" s="84">
        <v>49085</v>
      </c>
      <c r="AA40" s="84">
        <v>125151</v>
      </c>
      <c r="AB40" s="84">
        <v>3002</v>
      </c>
      <c r="AC40" s="84">
        <v>8930</v>
      </c>
      <c r="AD40" s="84">
        <v>1768</v>
      </c>
      <c r="AE40" s="84">
        <v>8921</v>
      </c>
      <c r="AF40" s="84">
        <v>-17259</v>
      </c>
      <c r="AG40" s="84">
        <v>-34654</v>
      </c>
      <c r="AH40" s="74">
        <v>12195</v>
      </c>
      <c r="AI40" s="84">
        <v>46294</v>
      </c>
      <c r="AJ40" s="84">
        <v>349767</v>
      </c>
      <c r="AK40" s="84">
        <v>1037121</v>
      </c>
      <c r="AL40" s="9">
        <v>148188.70370492493</v>
      </c>
      <c r="AM40" s="9">
        <v>333922.93488245999</v>
      </c>
      <c r="AN40" s="84">
        <v>-13647</v>
      </c>
      <c r="AO40" s="84">
        <v>-28910</v>
      </c>
      <c r="AP40" s="84">
        <v>1335</v>
      </c>
      <c r="AQ40" s="84">
        <v>1367</v>
      </c>
      <c r="AR40" s="9">
        <v>377392</v>
      </c>
      <c r="AS40" s="9">
        <v>417773</v>
      </c>
      <c r="AT40" s="84">
        <v>709834</v>
      </c>
      <c r="AU40" s="84">
        <v>2306231</v>
      </c>
      <c r="AV40" s="84">
        <v>-66314</v>
      </c>
      <c r="AW40" s="84">
        <v>-156022</v>
      </c>
      <c r="AX40" s="84">
        <v>73098</v>
      </c>
      <c r="AY40" s="84">
        <v>102423</v>
      </c>
      <c r="AZ40" s="84">
        <v>100</v>
      </c>
      <c r="BA40" s="84">
        <v>132</v>
      </c>
      <c r="BB40" s="9"/>
      <c r="BC40" s="9"/>
      <c r="BD40" s="84">
        <v>51084</v>
      </c>
      <c r="BE40" s="84">
        <v>200647</v>
      </c>
      <c r="BF40" s="84">
        <v>153512</v>
      </c>
      <c r="BG40" s="84">
        <v>454410</v>
      </c>
      <c r="BH40" s="84">
        <v>74533</v>
      </c>
      <c r="BI40" s="84">
        <v>254171</v>
      </c>
      <c r="BJ40" s="84">
        <v>71570</v>
      </c>
      <c r="BK40" s="84">
        <v>252412</v>
      </c>
      <c r="BL40" s="9"/>
      <c r="BM40" s="9"/>
      <c r="BN40" s="73">
        <f t="shared" si="8"/>
        <v>2181207.7037049248</v>
      </c>
      <c r="BO40" s="73">
        <f t="shared" si="9"/>
        <v>5324848.9348824602</v>
      </c>
    </row>
    <row r="41" spans="1:67" x14ac:dyDescent="0.25">
      <c r="A41" s="25" t="s">
        <v>226</v>
      </c>
      <c r="B41" s="84">
        <v>5906</v>
      </c>
      <c r="C41" s="84">
        <v>17122</v>
      </c>
      <c r="D41" s="84">
        <v>136987</v>
      </c>
      <c r="E41" s="84">
        <v>357541</v>
      </c>
      <c r="F41" s="9"/>
      <c r="G41" s="9"/>
      <c r="H41" s="84">
        <v>4341</v>
      </c>
      <c r="I41" s="84">
        <v>575806</v>
      </c>
      <c r="J41" s="84">
        <v>-54652</v>
      </c>
      <c r="K41" s="84">
        <v>-4465</v>
      </c>
      <c r="L41" s="84">
        <v>166121</v>
      </c>
      <c r="M41" s="84">
        <v>316583</v>
      </c>
      <c r="N41" s="9"/>
      <c r="O41" s="9"/>
      <c r="P41" s="84">
        <v>10175</v>
      </c>
      <c r="Q41" s="84">
        <v>37174</v>
      </c>
      <c r="R41" s="84">
        <v>-34913</v>
      </c>
      <c r="S41" s="84">
        <v>32979</v>
      </c>
      <c r="T41" s="84">
        <v>5712</v>
      </c>
      <c r="U41" s="84">
        <v>46021</v>
      </c>
      <c r="V41" s="84">
        <v>-40922</v>
      </c>
      <c r="W41" s="84">
        <v>-52247</v>
      </c>
      <c r="X41" s="84">
        <v>-44568</v>
      </c>
      <c r="Y41" s="84">
        <v>200299</v>
      </c>
      <c r="Z41" s="84">
        <v>104866</v>
      </c>
      <c r="AA41" s="84">
        <v>504291</v>
      </c>
      <c r="AB41" s="84">
        <v>27914</v>
      </c>
      <c r="AC41" s="84">
        <v>99228</v>
      </c>
      <c r="AD41" s="84">
        <v>23656</v>
      </c>
      <c r="AE41" s="84">
        <v>125366</v>
      </c>
      <c r="AF41" s="84">
        <v>-3220</v>
      </c>
      <c r="AG41" s="84">
        <v>11560</v>
      </c>
      <c r="AH41" s="74">
        <v>204058</v>
      </c>
      <c r="AI41" s="84">
        <v>566685</v>
      </c>
      <c r="AJ41" s="84">
        <v>144617</v>
      </c>
      <c r="AK41" s="84">
        <v>296719</v>
      </c>
      <c r="AL41" s="9">
        <v>952049.82429507526</v>
      </c>
      <c r="AM41" s="9">
        <v>2448437.20511754</v>
      </c>
      <c r="AN41" s="84">
        <v>-3418</v>
      </c>
      <c r="AO41" s="84">
        <v>-10143</v>
      </c>
      <c r="AP41" s="84">
        <v>21277</v>
      </c>
      <c r="AQ41" s="84">
        <v>21829</v>
      </c>
      <c r="AR41" s="9">
        <v>-261947</v>
      </c>
      <c r="AS41" s="9">
        <v>-4361</v>
      </c>
      <c r="AT41" s="84">
        <v>80381</v>
      </c>
      <c r="AU41" s="84">
        <v>-81812</v>
      </c>
      <c r="AV41" s="84">
        <v>30598</v>
      </c>
      <c r="AW41" s="84">
        <v>136991</v>
      </c>
      <c r="AX41" s="84">
        <v>145501</v>
      </c>
      <c r="AY41" s="84">
        <v>529902</v>
      </c>
      <c r="AZ41" s="84">
        <v>2264</v>
      </c>
      <c r="BA41" s="84">
        <v>2582</v>
      </c>
      <c r="BB41" s="9"/>
      <c r="BC41" s="9"/>
      <c r="BD41" s="84">
        <v>246909</v>
      </c>
      <c r="BE41" s="84">
        <v>688659</v>
      </c>
      <c r="BF41" s="84">
        <v>1477515</v>
      </c>
      <c r="BG41" s="84">
        <v>4558580</v>
      </c>
      <c r="BH41" s="84">
        <v>870594</v>
      </c>
      <c r="BI41" s="84">
        <v>2501670</v>
      </c>
      <c r="BJ41" s="84">
        <v>649549</v>
      </c>
      <c r="BK41" s="84">
        <v>1909471</v>
      </c>
      <c r="BL41" s="9"/>
      <c r="BM41" s="9"/>
      <c r="BN41" s="73">
        <f t="shared" si="8"/>
        <v>4867350.8242950756</v>
      </c>
      <c r="BO41" s="73">
        <f t="shared" si="9"/>
        <v>15832467.20511754</v>
      </c>
    </row>
    <row r="42" spans="1:67" x14ac:dyDescent="0.25">
      <c r="A42" s="23"/>
      <c r="U42" s="76"/>
    </row>
    <row r="43" spans="1:67" x14ac:dyDescent="0.25">
      <c r="A43" s="24" t="s">
        <v>221</v>
      </c>
    </row>
    <row r="44" spans="1:67" x14ac:dyDescent="0.25">
      <c r="A44" s="3" t="s">
        <v>0</v>
      </c>
      <c r="B44" s="103" t="s">
        <v>1</v>
      </c>
      <c r="C44" s="104"/>
      <c r="D44" s="103" t="s">
        <v>282</v>
      </c>
      <c r="E44" s="104"/>
      <c r="F44" s="103" t="s">
        <v>2</v>
      </c>
      <c r="G44" s="104"/>
      <c r="H44" s="103" t="s">
        <v>3</v>
      </c>
      <c r="I44" s="104"/>
      <c r="J44" s="103" t="s">
        <v>4</v>
      </c>
      <c r="K44" s="104"/>
      <c r="L44" s="103" t="s">
        <v>283</v>
      </c>
      <c r="M44" s="104"/>
      <c r="N44" s="103" t="s">
        <v>6</v>
      </c>
      <c r="O44" s="104"/>
      <c r="P44" s="103" t="s">
        <v>5</v>
      </c>
      <c r="Q44" s="104"/>
      <c r="R44" s="103" t="s">
        <v>7</v>
      </c>
      <c r="S44" s="104"/>
      <c r="T44" s="103" t="s">
        <v>284</v>
      </c>
      <c r="U44" s="104"/>
      <c r="V44" s="103" t="s">
        <v>8</v>
      </c>
      <c r="W44" s="104"/>
      <c r="X44" s="103" t="s">
        <v>9</v>
      </c>
      <c r="Y44" s="104"/>
      <c r="Z44" s="103" t="s">
        <v>10</v>
      </c>
      <c r="AA44" s="104"/>
      <c r="AB44" s="103" t="s">
        <v>304</v>
      </c>
      <c r="AC44" s="104"/>
      <c r="AD44" s="103" t="s">
        <v>11</v>
      </c>
      <c r="AE44" s="104"/>
      <c r="AF44" s="103" t="s">
        <v>12</v>
      </c>
      <c r="AG44" s="104"/>
      <c r="AH44" s="103" t="s">
        <v>285</v>
      </c>
      <c r="AI44" s="104"/>
      <c r="AJ44" s="103" t="s">
        <v>290</v>
      </c>
      <c r="AK44" s="104"/>
      <c r="AL44" s="103" t="s">
        <v>13</v>
      </c>
      <c r="AM44" s="104"/>
      <c r="AN44" s="103" t="s">
        <v>286</v>
      </c>
      <c r="AO44" s="104"/>
      <c r="AP44" s="103" t="s">
        <v>287</v>
      </c>
      <c r="AQ44" s="104"/>
      <c r="AR44" s="103" t="s">
        <v>291</v>
      </c>
      <c r="AS44" s="104"/>
      <c r="AT44" s="103" t="s">
        <v>305</v>
      </c>
      <c r="AU44" s="104"/>
      <c r="AV44" s="103" t="s">
        <v>14</v>
      </c>
      <c r="AW44" s="104"/>
      <c r="AX44" s="103" t="s">
        <v>15</v>
      </c>
      <c r="AY44" s="104"/>
      <c r="AZ44" s="103" t="s">
        <v>16</v>
      </c>
      <c r="BA44" s="104"/>
      <c r="BB44" s="103" t="s">
        <v>17</v>
      </c>
      <c r="BC44" s="104"/>
      <c r="BD44" s="103" t="s">
        <v>18</v>
      </c>
      <c r="BE44" s="104"/>
      <c r="BF44" s="103" t="s">
        <v>288</v>
      </c>
      <c r="BG44" s="104"/>
      <c r="BH44" s="103" t="s">
        <v>289</v>
      </c>
      <c r="BI44" s="104"/>
      <c r="BJ44" s="103" t="s">
        <v>19</v>
      </c>
      <c r="BK44" s="104"/>
      <c r="BL44" s="103" t="s">
        <v>20</v>
      </c>
      <c r="BM44" s="104"/>
      <c r="BN44" s="105" t="s">
        <v>21</v>
      </c>
      <c r="BO44" s="106"/>
    </row>
    <row r="45" spans="1:67" ht="30" x14ac:dyDescent="0.25">
      <c r="A45" s="3"/>
      <c r="B45" s="57" t="s">
        <v>293</v>
      </c>
      <c r="C45" s="58" t="s">
        <v>294</v>
      </c>
      <c r="D45" s="57" t="s">
        <v>293</v>
      </c>
      <c r="E45" s="58" t="s">
        <v>294</v>
      </c>
      <c r="F45" s="57" t="s">
        <v>293</v>
      </c>
      <c r="G45" s="58" t="s">
        <v>294</v>
      </c>
      <c r="H45" s="57" t="s">
        <v>293</v>
      </c>
      <c r="I45" s="58" t="s">
        <v>294</v>
      </c>
      <c r="J45" s="57" t="s">
        <v>293</v>
      </c>
      <c r="K45" s="58" t="s">
        <v>294</v>
      </c>
      <c r="L45" s="57" t="s">
        <v>293</v>
      </c>
      <c r="M45" s="58" t="s">
        <v>294</v>
      </c>
      <c r="N45" s="57" t="s">
        <v>293</v>
      </c>
      <c r="O45" s="58" t="s">
        <v>294</v>
      </c>
      <c r="P45" s="57" t="s">
        <v>293</v>
      </c>
      <c r="Q45" s="58" t="s">
        <v>294</v>
      </c>
      <c r="R45" s="57" t="s">
        <v>293</v>
      </c>
      <c r="S45" s="58" t="s">
        <v>294</v>
      </c>
      <c r="T45" s="57" t="s">
        <v>293</v>
      </c>
      <c r="U45" s="58" t="s">
        <v>294</v>
      </c>
      <c r="V45" s="57" t="s">
        <v>293</v>
      </c>
      <c r="W45" s="58" t="s">
        <v>294</v>
      </c>
      <c r="X45" s="57" t="s">
        <v>293</v>
      </c>
      <c r="Y45" s="58" t="s">
        <v>294</v>
      </c>
      <c r="Z45" s="57" t="s">
        <v>293</v>
      </c>
      <c r="AA45" s="58" t="s">
        <v>294</v>
      </c>
      <c r="AB45" s="57" t="s">
        <v>293</v>
      </c>
      <c r="AC45" s="58" t="s">
        <v>294</v>
      </c>
      <c r="AD45" s="57" t="s">
        <v>293</v>
      </c>
      <c r="AE45" s="58" t="s">
        <v>294</v>
      </c>
      <c r="AF45" s="57" t="s">
        <v>293</v>
      </c>
      <c r="AG45" s="58" t="s">
        <v>294</v>
      </c>
      <c r="AH45" s="57" t="s">
        <v>293</v>
      </c>
      <c r="AI45" s="58" t="s">
        <v>294</v>
      </c>
      <c r="AJ45" s="57" t="s">
        <v>293</v>
      </c>
      <c r="AK45" s="58" t="s">
        <v>294</v>
      </c>
      <c r="AL45" s="57" t="s">
        <v>293</v>
      </c>
      <c r="AM45" s="58" t="s">
        <v>294</v>
      </c>
      <c r="AN45" s="57" t="s">
        <v>293</v>
      </c>
      <c r="AO45" s="58" t="s">
        <v>294</v>
      </c>
      <c r="AP45" s="57" t="s">
        <v>293</v>
      </c>
      <c r="AQ45" s="58" t="s">
        <v>294</v>
      </c>
      <c r="AR45" s="57" t="s">
        <v>293</v>
      </c>
      <c r="AS45" s="58" t="s">
        <v>294</v>
      </c>
      <c r="AT45" s="57" t="s">
        <v>293</v>
      </c>
      <c r="AU45" s="58" t="s">
        <v>294</v>
      </c>
      <c r="AV45" s="57" t="s">
        <v>293</v>
      </c>
      <c r="AW45" s="58" t="s">
        <v>294</v>
      </c>
      <c r="AX45" s="57" t="s">
        <v>293</v>
      </c>
      <c r="AY45" s="58" t="s">
        <v>294</v>
      </c>
      <c r="AZ45" s="57" t="s">
        <v>293</v>
      </c>
      <c r="BA45" s="58" t="s">
        <v>294</v>
      </c>
      <c r="BB45" s="57" t="s">
        <v>293</v>
      </c>
      <c r="BC45" s="58" t="s">
        <v>294</v>
      </c>
      <c r="BD45" s="57" t="s">
        <v>293</v>
      </c>
      <c r="BE45" s="58" t="s">
        <v>294</v>
      </c>
      <c r="BF45" s="57" t="s">
        <v>293</v>
      </c>
      <c r="BG45" s="58" t="s">
        <v>294</v>
      </c>
      <c r="BH45" s="57" t="s">
        <v>293</v>
      </c>
      <c r="BI45" s="58" t="s">
        <v>294</v>
      </c>
      <c r="BJ45" s="57" t="s">
        <v>293</v>
      </c>
      <c r="BK45" s="58" t="s">
        <v>294</v>
      </c>
      <c r="BL45" s="57" t="s">
        <v>293</v>
      </c>
      <c r="BM45" s="58" t="s">
        <v>294</v>
      </c>
      <c r="BN45" s="57" t="s">
        <v>293</v>
      </c>
      <c r="BO45" s="58" t="s">
        <v>294</v>
      </c>
    </row>
    <row r="46" spans="1:67" x14ac:dyDescent="0.25">
      <c r="A46" s="25" t="s">
        <v>225</v>
      </c>
      <c r="B46" s="84">
        <v>38</v>
      </c>
      <c r="C46" s="84">
        <v>426</v>
      </c>
      <c r="D46" s="84">
        <v>49448</v>
      </c>
      <c r="E46" s="84">
        <v>104886</v>
      </c>
      <c r="F46" s="9"/>
      <c r="G46" s="9"/>
      <c r="H46" s="84">
        <v>53866</v>
      </c>
      <c r="I46" s="84">
        <v>159596</v>
      </c>
      <c r="J46" s="84">
        <v>11203</v>
      </c>
      <c r="K46" s="84">
        <v>27249</v>
      </c>
      <c r="L46" s="84">
        <v>83538</v>
      </c>
      <c r="M46" s="84">
        <v>210960</v>
      </c>
      <c r="N46" s="9"/>
      <c r="O46" s="9"/>
      <c r="P46" s="84">
        <v>649</v>
      </c>
      <c r="Q46" s="84">
        <v>2280</v>
      </c>
      <c r="R46" s="84">
        <v>22654</v>
      </c>
      <c r="S46" s="84">
        <v>53936</v>
      </c>
      <c r="T46" s="84">
        <v>420</v>
      </c>
      <c r="U46" s="84">
        <v>699</v>
      </c>
      <c r="V46" s="84">
        <v>216644</v>
      </c>
      <c r="W46" s="84">
        <v>479711</v>
      </c>
      <c r="X46" s="84">
        <v>74305</v>
      </c>
      <c r="Y46" s="84">
        <v>196330</v>
      </c>
      <c r="Z46" s="84">
        <v>23950</v>
      </c>
      <c r="AA46" s="84">
        <v>86568</v>
      </c>
      <c r="AB46" s="84">
        <v>436</v>
      </c>
      <c r="AC46" s="84">
        <v>2262</v>
      </c>
      <c r="AD46" s="84">
        <v>4228</v>
      </c>
      <c r="AE46" s="84">
        <v>13396</v>
      </c>
      <c r="AF46" s="84">
        <v>923</v>
      </c>
      <c r="AG46" s="84">
        <v>1479</v>
      </c>
      <c r="AH46" s="74">
        <v>2780</v>
      </c>
      <c r="AI46" s="84">
        <v>6838</v>
      </c>
      <c r="AJ46" s="84">
        <v>35452</v>
      </c>
      <c r="AK46" s="84">
        <v>64973</v>
      </c>
      <c r="AL46" s="9">
        <v>18033.469000000005</v>
      </c>
      <c r="AM46" s="9">
        <v>63945.398000000001</v>
      </c>
      <c r="AN46" s="84">
        <v>2595</v>
      </c>
      <c r="AO46" s="84">
        <v>4838</v>
      </c>
      <c r="AP46" s="84">
        <v>3719</v>
      </c>
      <c r="AQ46" s="84">
        <v>3751</v>
      </c>
      <c r="AR46" s="9">
        <v>13035</v>
      </c>
      <c r="AS46" s="9">
        <v>26501</v>
      </c>
      <c r="AT46" s="84">
        <v>103955</v>
      </c>
      <c r="AU46" s="84">
        <v>216652</v>
      </c>
      <c r="AV46" s="84">
        <v>15355</v>
      </c>
      <c r="AW46" s="84">
        <v>53273</v>
      </c>
      <c r="AX46" s="84">
        <v>246582</v>
      </c>
      <c r="AY46" s="84">
        <v>606721</v>
      </c>
      <c r="AZ46" s="84">
        <v>5653</v>
      </c>
      <c r="BA46" s="84">
        <v>9355</v>
      </c>
      <c r="BB46" s="9"/>
      <c r="BC46" s="9"/>
      <c r="BD46" s="84">
        <v>25983</v>
      </c>
      <c r="BE46" s="84">
        <v>83867</v>
      </c>
      <c r="BF46" s="84">
        <v>31868</v>
      </c>
      <c r="BG46" s="84">
        <v>214594</v>
      </c>
      <c r="BH46" s="84">
        <v>36818</v>
      </c>
      <c r="BI46" s="84">
        <v>91328</v>
      </c>
      <c r="BJ46" s="84">
        <v>51974</v>
      </c>
      <c r="BK46" s="84">
        <v>181693</v>
      </c>
      <c r="BL46" s="9"/>
      <c r="BM46" s="9"/>
      <c r="BN46" s="73">
        <f t="shared" ref="BN46:BN49" si="10">SUM(B46+D46+F46+H46+J46+L46+N46+P46+R46+T46+V46+X46+Z46+AB46+AD46+AF46+AH46+AJ46+AL46+AN46+AP46+AR46+AT46+AV46+AX46+AZ46+BB46+BD46+BF46+BH46+BJ46+BL46)</f>
        <v>1136104.469</v>
      </c>
      <c r="BO46" s="73">
        <f t="shared" ref="BO46:BO49" si="11">SUM(C46+E46+G46+I46+K46+M46+O46+Q46+S46+U46+W46+Y46+AA46+AC46+AE46+AG46+AI46+AK46+AM46+AO46+AQ46+AS46+AU46+AW46+AY46+BA46+BC46+BE46+BG46+BI46+BK46+BM46)</f>
        <v>2968107.398</v>
      </c>
    </row>
    <row r="47" spans="1:67" x14ac:dyDescent="0.25">
      <c r="A47" s="25" t="s">
        <v>276</v>
      </c>
      <c r="B47" s="84"/>
      <c r="C47" s="84"/>
      <c r="D47" s="84"/>
      <c r="E47" s="84"/>
      <c r="F47" s="9"/>
      <c r="G47" s="9"/>
      <c r="H47" s="84"/>
      <c r="I47" s="84"/>
      <c r="J47" s="84"/>
      <c r="K47" s="84"/>
      <c r="L47" s="84"/>
      <c r="M47" s="84"/>
      <c r="N47" s="9"/>
      <c r="O47" s="9"/>
      <c r="P47" s="84"/>
      <c r="Q47" s="84">
        <v>8</v>
      </c>
      <c r="R47" s="84"/>
      <c r="S47" s="84"/>
      <c r="T47" s="84"/>
      <c r="U47" s="84"/>
      <c r="V47" s="84">
        <v>3242</v>
      </c>
      <c r="W47" s="84">
        <v>3537</v>
      </c>
      <c r="X47" s="84">
        <v>15</v>
      </c>
      <c r="Y47" s="84">
        <v>125</v>
      </c>
      <c r="Z47" s="84"/>
      <c r="AA47" s="84"/>
      <c r="AB47" s="84"/>
      <c r="AC47" s="84"/>
      <c r="AD47" s="84"/>
      <c r="AE47" s="84"/>
      <c r="AF47" s="84"/>
      <c r="AG47" s="84">
        <v>-1</v>
      </c>
      <c r="AH47" s="74"/>
      <c r="AI47" s="84"/>
      <c r="AJ47" s="84"/>
      <c r="AK47" s="84"/>
      <c r="AL47" s="9">
        <v>0</v>
      </c>
      <c r="AM47" s="9">
        <v>0</v>
      </c>
      <c r="AN47" s="84"/>
      <c r="AO47" s="84"/>
      <c r="AP47" s="84"/>
      <c r="AQ47" s="84"/>
      <c r="AR47" s="9"/>
      <c r="AS47" s="9"/>
      <c r="AT47" s="84"/>
      <c r="AU47" s="84"/>
      <c r="AV47" s="84">
        <v>15</v>
      </c>
      <c r="AW47" s="84">
        <v>84</v>
      </c>
      <c r="AX47" s="84"/>
      <c r="AY47" s="84"/>
      <c r="AZ47" s="84"/>
      <c r="BA47" s="84"/>
      <c r="BB47" s="9"/>
      <c r="BC47" s="9"/>
      <c r="BD47" s="84">
        <v>1296</v>
      </c>
      <c r="BE47" s="84">
        <v>661</v>
      </c>
      <c r="BF47" s="84">
        <v>2369</v>
      </c>
      <c r="BG47" s="84">
        <v>9679</v>
      </c>
      <c r="BH47" s="84">
        <v>0</v>
      </c>
      <c r="BI47" s="84">
        <v>2516</v>
      </c>
      <c r="BJ47" s="84">
        <v>0</v>
      </c>
      <c r="BK47" s="84">
        <v>0</v>
      </c>
      <c r="BL47" s="9"/>
      <c r="BM47" s="9"/>
      <c r="BN47" s="73">
        <f t="shared" si="10"/>
        <v>6937</v>
      </c>
      <c r="BO47" s="73">
        <f t="shared" si="11"/>
        <v>16609</v>
      </c>
    </row>
    <row r="48" spans="1:67" x14ac:dyDescent="0.25">
      <c r="A48" s="25" t="s">
        <v>277</v>
      </c>
      <c r="B48" s="84">
        <v>29</v>
      </c>
      <c r="C48" s="84">
        <v>183</v>
      </c>
      <c r="D48" s="84">
        <v>2534</v>
      </c>
      <c r="E48" s="84">
        <v>5235</v>
      </c>
      <c r="F48" s="9"/>
      <c r="G48" s="9"/>
      <c r="H48" s="84">
        <v>3039</v>
      </c>
      <c r="I48" s="84">
        <v>10780</v>
      </c>
      <c r="J48" s="84">
        <v>918</v>
      </c>
      <c r="K48" s="84">
        <v>2573</v>
      </c>
      <c r="L48" s="84">
        <v>165016</v>
      </c>
      <c r="M48" s="84">
        <v>368574</v>
      </c>
      <c r="N48" s="9"/>
      <c r="O48" s="9"/>
      <c r="P48" s="84">
        <v>891</v>
      </c>
      <c r="Q48" s="84">
        <v>1547</v>
      </c>
      <c r="R48" s="84">
        <v>6797</v>
      </c>
      <c r="S48" s="84">
        <v>11589</v>
      </c>
      <c r="T48" s="84">
        <v>323</v>
      </c>
      <c r="U48" s="84">
        <v>808</v>
      </c>
      <c r="V48" s="84">
        <v>-278938</v>
      </c>
      <c r="W48" s="84">
        <v>-595671</v>
      </c>
      <c r="X48" s="84">
        <v>68806</v>
      </c>
      <c r="Y48" s="84">
        <v>85182</v>
      </c>
      <c r="Z48" s="84">
        <v>3584</v>
      </c>
      <c r="AA48" s="84">
        <v>12157</v>
      </c>
      <c r="AB48" s="84">
        <v>24206</v>
      </c>
      <c r="AC48" s="84">
        <v>60344</v>
      </c>
      <c r="AD48" s="84">
        <v>316</v>
      </c>
      <c r="AE48" s="84">
        <v>1072</v>
      </c>
      <c r="AF48" s="84">
        <v>-182</v>
      </c>
      <c r="AG48" s="84">
        <v>-349</v>
      </c>
      <c r="AH48" s="74">
        <v>160</v>
      </c>
      <c r="AI48" s="84">
        <v>2134</v>
      </c>
      <c r="AJ48" s="84">
        <v>3416</v>
      </c>
      <c r="AK48" s="84">
        <v>16263</v>
      </c>
      <c r="AL48" s="9">
        <v>0</v>
      </c>
      <c r="AM48" s="9">
        <v>35515.388167600002</v>
      </c>
      <c r="AN48" s="84">
        <v>-5116</v>
      </c>
      <c r="AO48" s="84">
        <v>-9569</v>
      </c>
      <c r="AP48" s="84">
        <v>3165</v>
      </c>
      <c r="AQ48" s="84">
        <v>3220</v>
      </c>
      <c r="AR48" s="9">
        <v>14128</v>
      </c>
      <c r="AS48" s="9">
        <v>16268</v>
      </c>
      <c r="AT48" s="84">
        <v>5812</v>
      </c>
      <c r="AU48" s="84">
        <v>12373</v>
      </c>
      <c r="AV48" s="84">
        <v>-1118</v>
      </c>
      <c r="AW48" s="84">
        <v>-13224</v>
      </c>
      <c r="AX48" s="84">
        <v>78864</v>
      </c>
      <c r="AY48" s="84">
        <v>104997</v>
      </c>
      <c r="AZ48" s="84">
        <v>7169</v>
      </c>
      <c r="BA48" s="84">
        <v>10107</v>
      </c>
      <c r="BB48" s="9"/>
      <c r="BC48" s="9"/>
      <c r="BD48" s="84">
        <v>2509</v>
      </c>
      <c r="BE48" s="84">
        <v>8664</v>
      </c>
      <c r="BF48" s="84">
        <v>12770</v>
      </c>
      <c r="BG48" s="84">
        <v>39158</v>
      </c>
      <c r="BH48" s="84">
        <v>17566</v>
      </c>
      <c r="BI48" s="84">
        <v>46294</v>
      </c>
      <c r="BJ48" s="84">
        <v>56655</v>
      </c>
      <c r="BK48" s="84">
        <v>201014</v>
      </c>
      <c r="BL48" s="9"/>
      <c r="BM48" s="9"/>
      <c r="BN48" s="73">
        <f t="shared" si="10"/>
        <v>193319</v>
      </c>
      <c r="BO48" s="73">
        <f t="shared" si="11"/>
        <v>437238.38816760003</v>
      </c>
    </row>
    <row r="49" spans="1:67" x14ac:dyDescent="0.25">
      <c r="A49" s="25" t="s">
        <v>226</v>
      </c>
      <c r="B49" s="84">
        <v>9</v>
      </c>
      <c r="C49" s="84">
        <v>243</v>
      </c>
      <c r="D49" s="84">
        <v>46914</v>
      </c>
      <c r="E49" s="84">
        <v>99651</v>
      </c>
      <c r="F49" s="9"/>
      <c r="G49" s="9"/>
      <c r="H49" s="84">
        <v>50827</v>
      </c>
      <c r="I49" s="84">
        <v>148816</v>
      </c>
      <c r="J49" s="84">
        <v>10286</v>
      </c>
      <c r="K49" s="84">
        <v>24676</v>
      </c>
      <c r="L49" s="84">
        <v>-81478</v>
      </c>
      <c r="M49" s="84">
        <v>-157614</v>
      </c>
      <c r="N49" s="9"/>
      <c r="O49" s="9"/>
      <c r="P49" s="84">
        <v>-242</v>
      </c>
      <c r="Q49" s="84">
        <v>741</v>
      </c>
      <c r="R49" s="84">
        <v>15857</v>
      </c>
      <c r="S49" s="84">
        <v>42347</v>
      </c>
      <c r="T49" s="84">
        <v>96</v>
      </c>
      <c r="U49" s="84">
        <v>-109</v>
      </c>
      <c r="V49" s="84">
        <v>-59053</v>
      </c>
      <c r="W49" s="84">
        <v>-112423</v>
      </c>
      <c r="X49" s="84">
        <v>5514</v>
      </c>
      <c r="Y49" s="84">
        <v>111273</v>
      </c>
      <c r="Z49" s="84">
        <v>20366</v>
      </c>
      <c r="AA49" s="84">
        <v>74411</v>
      </c>
      <c r="AB49" s="84">
        <v>-23770</v>
      </c>
      <c r="AC49" s="84">
        <v>-58082</v>
      </c>
      <c r="AD49" s="84">
        <v>3912</v>
      </c>
      <c r="AE49" s="84">
        <v>12324</v>
      </c>
      <c r="AF49" s="84">
        <v>741</v>
      </c>
      <c r="AG49" s="84">
        <v>1129</v>
      </c>
      <c r="AH49" s="74">
        <v>2620</v>
      </c>
      <c r="AI49" s="84">
        <v>4704</v>
      </c>
      <c r="AJ49" s="84">
        <v>32036</v>
      </c>
      <c r="AK49" s="84">
        <v>48710</v>
      </c>
      <c r="AL49" s="9">
        <v>18033.469000000005</v>
      </c>
      <c r="AM49" s="9">
        <v>28430.009832399999</v>
      </c>
      <c r="AN49" s="84">
        <v>-2521</v>
      </c>
      <c r="AO49" s="84">
        <v>-4731</v>
      </c>
      <c r="AP49" s="84">
        <v>554</v>
      </c>
      <c r="AQ49" s="84">
        <v>531</v>
      </c>
      <c r="AR49" s="9">
        <v>-1093</v>
      </c>
      <c r="AS49" s="9">
        <v>10133</v>
      </c>
      <c r="AT49" s="84">
        <v>98143</v>
      </c>
      <c r="AU49" s="84">
        <v>204279</v>
      </c>
      <c r="AV49" s="84">
        <v>14252</v>
      </c>
      <c r="AW49" s="84">
        <v>40133</v>
      </c>
      <c r="AX49" s="84">
        <v>167718</v>
      </c>
      <c r="AY49" s="84">
        <v>501724</v>
      </c>
      <c r="AZ49" s="84">
        <v>-1517</v>
      </c>
      <c r="BA49" s="84">
        <v>-752</v>
      </c>
      <c r="BB49" s="9"/>
      <c r="BC49" s="9"/>
      <c r="BD49" s="84">
        <v>24770</v>
      </c>
      <c r="BE49" s="84">
        <v>75864</v>
      </c>
      <c r="BF49" s="84">
        <v>21468</v>
      </c>
      <c r="BG49" s="84">
        <v>185115</v>
      </c>
      <c r="BH49" s="84">
        <v>19252</v>
      </c>
      <c r="BI49" s="84">
        <v>47550</v>
      </c>
      <c r="BJ49" s="84">
        <v>-4681</v>
      </c>
      <c r="BK49" s="84">
        <v>-19321</v>
      </c>
      <c r="BL49" s="9"/>
      <c r="BM49" s="9"/>
      <c r="BN49" s="73">
        <f t="shared" si="10"/>
        <v>379013.46900000004</v>
      </c>
      <c r="BO49" s="73">
        <f t="shared" si="11"/>
        <v>1309752.0098323999</v>
      </c>
    </row>
    <row r="50" spans="1:67" x14ac:dyDescent="0.25">
      <c r="A50" s="23"/>
      <c r="U50" s="76"/>
    </row>
    <row r="51" spans="1:67" x14ac:dyDescent="0.25">
      <c r="A51" s="24" t="s">
        <v>222</v>
      </c>
    </row>
    <row r="52" spans="1:67" x14ac:dyDescent="0.25">
      <c r="A52" s="3" t="s">
        <v>0</v>
      </c>
      <c r="B52" s="103" t="s">
        <v>1</v>
      </c>
      <c r="C52" s="104"/>
      <c r="D52" s="103" t="s">
        <v>282</v>
      </c>
      <c r="E52" s="104"/>
      <c r="F52" s="103" t="s">
        <v>2</v>
      </c>
      <c r="G52" s="104"/>
      <c r="H52" s="103" t="s">
        <v>3</v>
      </c>
      <c r="I52" s="104"/>
      <c r="J52" s="103" t="s">
        <v>4</v>
      </c>
      <c r="K52" s="104"/>
      <c r="L52" s="103" t="s">
        <v>283</v>
      </c>
      <c r="M52" s="104"/>
      <c r="N52" s="103" t="s">
        <v>6</v>
      </c>
      <c r="O52" s="104"/>
      <c r="P52" s="103" t="s">
        <v>5</v>
      </c>
      <c r="Q52" s="104"/>
      <c r="R52" s="103" t="s">
        <v>7</v>
      </c>
      <c r="S52" s="104"/>
      <c r="T52" s="103" t="s">
        <v>284</v>
      </c>
      <c r="U52" s="104"/>
      <c r="V52" s="103" t="s">
        <v>8</v>
      </c>
      <c r="W52" s="104"/>
      <c r="X52" s="103" t="s">
        <v>9</v>
      </c>
      <c r="Y52" s="104"/>
      <c r="Z52" s="103" t="s">
        <v>10</v>
      </c>
      <c r="AA52" s="104"/>
      <c r="AB52" s="103" t="s">
        <v>304</v>
      </c>
      <c r="AC52" s="104"/>
      <c r="AD52" s="103" t="s">
        <v>11</v>
      </c>
      <c r="AE52" s="104"/>
      <c r="AF52" s="103" t="s">
        <v>12</v>
      </c>
      <c r="AG52" s="104"/>
      <c r="AH52" s="103" t="s">
        <v>285</v>
      </c>
      <c r="AI52" s="104"/>
      <c r="AJ52" s="103" t="s">
        <v>290</v>
      </c>
      <c r="AK52" s="104"/>
      <c r="AL52" s="103" t="s">
        <v>13</v>
      </c>
      <c r="AM52" s="104"/>
      <c r="AN52" s="103" t="s">
        <v>286</v>
      </c>
      <c r="AO52" s="104"/>
      <c r="AP52" s="103" t="s">
        <v>287</v>
      </c>
      <c r="AQ52" s="104"/>
      <c r="AR52" s="103" t="s">
        <v>291</v>
      </c>
      <c r="AS52" s="104"/>
      <c r="AT52" s="103" t="s">
        <v>305</v>
      </c>
      <c r="AU52" s="104"/>
      <c r="AV52" s="103" t="s">
        <v>14</v>
      </c>
      <c r="AW52" s="104"/>
      <c r="AX52" s="103" t="s">
        <v>15</v>
      </c>
      <c r="AY52" s="104"/>
      <c r="AZ52" s="103" t="s">
        <v>16</v>
      </c>
      <c r="BA52" s="104"/>
      <c r="BB52" s="103" t="s">
        <v>17</v>
      </c>
      <c r="BC52" s="104"/>
      <c r="BD52" s="103" t="s">
        <v>18</v>
      </c>
      <c r="BE52" s="104"/>
      <c r="BF52" s="103" t="s">
        <v>288</v>
      </c>
      <c r="BG52" s="104"/>
      <c r="BH52" s="103" t="s">
        <v>289</v>
      </c>
      <c r="BI52" s="104"/>
      <c r="BJ52" s="103" t="s">
        <v>19</v>
      </c>
      <c r="BK52" s="104"/>
      <c r="BL52" s="103" t="s">
        <v>20</v>
      </c>
      <c r="BM52" s="104"/>
      <c r="BN52" s="105" t="s">
        <v>21</v>
      </c>
      <c r="BO52" s="106"/>
    </row>
    <row r="53" spans="1:67" ht="30" x14ac:dyDescent="0.25">
      <c r="A53" s="3"/>
      <c r="B53" s="57" t="s">
        <v>293</v>
      </c>
      <c r="C53" s="58" t="s">
        <v>294</v>
      </c>
      <c r="D53" s="57" t="s">
        <v>293</v>
      </c>
      <c r="E53" s="58" t="s">
        <v>294</v>
      </c>
      <c r="F53" s="57" t="s">
        <v>293</v>
      </c>
      <c r="G53" s="58" t="s">
        <v>294</v>
      </c>
      <c r="H53" s="57" t="s">
        <v>293</v>
      </c>
      <c r="I53" s="58" t="s">
        <v>294</v>
      </c>
      <c r="J53" s="57" t="s">
        <v>293</v>
      </c>
      <c r="K53" s="58" t="s">
        <v>294</v>
      </c>
      <c r="L53" s="57" t="s">
        <v>293</v>
      </c>
      <c r="M53" s="58" t="s">
        <v>294</v>
      </c>
      <c r="N53" s="57" t="s">
        <v>293</v>
      </c>
      <c r="O53" s="58" t="s">
        <v>294</v>
      </c>
      <c r="P53" s="57" t="s">
        <v>293</v>
      </c>
      <c r="Q53" s="58" t="s">
        <v>294</v>
      </c>
      <c r="R53" s="57" t="s">
        <v>293</v>
      </c>
      <c r="S53" s="58" t="s">
        <v>294</v>
      </c>
      <c r="T53" s="57" t="s">
        <v>293</v>
      </c>
      <c r="U53" s="58" t="s">
        <v>294</v>
      </c>
      <c r="V53" s="57" t="s">
        <v>293</v>
      </c>
      <c r="W53" s="58" t="s">
        <v>294</v>
      </c>
      <c r="X53" s="57" t="s">
        <v>293</v>
      </c>
      <c r="Y53" s="58" t="s">
        <v>294</v>
      </c>
      <c r="Z53" s="57" t="s">
        <v>293</v>
      </c>
      <c r="AA53" s="58" t="s">
        <v>294</v>
      </c>
      <c r="AB53" s="57" t="s">
        <v>293</v>
      </c>
      <c r="AC53" s="58" t="s">
        <v>294</v>
      </c>
      <c r="AD53" s="57" t="s">
        <v>293</v>
      </c>
      <c r="AE53" s="58" t="s">
        <v>294</v>
      </c>
      <c r="AF53" s="57" t="s">
        <v>293</v>
      </c>
      <c r="AG53" s="58" t="s">
        <v>294</v>
      </c>
      <c r="AH53" s="57" t="s">
        <v>293</v>
      </c>
      <c r="AI53" s="58" t="s">
        <v>294</v>
      </c>
      <c r="AJ53" s="57" t="s">
        <v>293</v>
      </c>
      <c r="AK53" s="58" t="s">
        <v>294</v>
      </c>
      <c r="AL53" s="57" t="s">
        <v>293</v>
      </c>
      <c r="AM53" s="58" t="s">
        <v>294</v>
      </c>
      <c r="AN53" s="57" t="s">
        <v>293</v>
      </c>
      <c r="AO53" s="58" t="s">
        <v>294</v>
      </c>
      <c r="AP53" s="57" t="s">
        <v>293</v>
      </c>
      <c r="AQ53" s="58" t="s">
        <v>294</v>
      </c>
      <c r="AR53" s="57" t="s">
        <v>293</v>
      </c>
      <c r="AS53" s="58" t="s">
        <v>294</v>
      </c>
      <c r="AT53" s="57" t="s">
        <v>293</v>
      </c>
      <c r="AU53" s="58" t="s">
        <v>294</v>
      </c>
      <c r="AV53" s="57" t="s">
        <v>293</v>
      </c>
      <c r="AW53" s="58" t="s">
        <v>294</v>
      </c>
      <c r="AX53" s="57" t="s">
        <v>293</v>
      </c>
      <c r="AY53" s="58" t="s">
        <v>294</v>
      </c>
      <c r="AZ53" s="57" t="s">
        <v>293</v>
      </c>
      <c r="BA53" s="58" t="s">
        <v>294</v>
      </c>
      <c r="BB53" s="57" t="s">
        <v>293</v>
      </c>
      <c r="BC53" s="58" t="s">
        <v>294</v>
      </c>
      <c r="BD53" s="57" t="s">
        <v>293</v>
      </c>
      <c r="BE53" s="58" t="s">
        <v>294</v>
      </c>
      <c r="BF53" s="57" t="s">
        <v>293</v>
      </c>
      <c r="BG53" s="58" t="s">
        <v>294</v>
      </c>
      <c r="BH53" s="57" t="s">
        <v>293</v>
      </c>
      <c r="BI53" s="58" t="s">
        <v>294</v>
      </c>
      <c r="BJ53" s="57" t="s">
        <v>293</v>
      </c>
      <c r="BK53" s="58" t="s">
        <v>294</v>
      </c>
      <c r="BL53" s="57" t="s">
        <v>293</v>
      </c>
      <c r="BM53" s="58" t="s">
        <v>294</v>
      </c>
      <c r="BN53" s="57" t="s">
        <v>293</v>
      </c>
      <c r="BO53" s="58" t="s">
        <v>294</v>
      </c>
    </row>
    <row r="54" spans="1:67" x14ac:dyDescent="0.25">
      <c r="A54" s="25" t="s">
        <v>225</v>
      </c>
      <c r="B54" s="9"/>
      <c r="C54" s="9"/>
      <c r="D54" s="9"/>
      <c r="E54" s="9"/>
      <c r="F54" s="9"/>
      <c r="G54" s="9"/>
      <c r="H54" s="84">
        <v>5091</v>
      </c>
      <c r="I54" s="84">
        <v>24700</v>
      </c>
      <c r="J54" s="84">
        <v>6585</v>
      </c>
      <c r="K54" s="84">
        <v>26692</v>
      </c>
      <c r="L54" s="84">
        <v>2383</v>
      </c>
      <c r="M54" s="84">
        <v>5712</v>
      </c>
      <c r="N54" s="9"/>
      <c r="O54" s="9"/>
      <c r="P54" s="9"/>
      <c r="Q54" s="9"/>
      <c r="R54" s="84">
        <v>6959</v>
      </c>
      <c r="S54" s="84">
        <v>19154</v>
      </c>
      <c r="T54" s="9"/>
      <c r="U54" s="9"/>
      <c r="V54" s="84">
        <v>595</v>
      </c>
      <c r="W54" s="84">
        <v>1649</v>
      </c>
      <c r="X54" s="84">
        <v>8815</v>
      </c>
      <c r="Y54" s="84">
        <v>28951</v>
      </c>
      <c r="Z54" s="84">
        <v>24730</v>
      </c>
      <c r="AA54" s="84">
        <v>78766</v>
      </c>
      <c r="AB54" s="9"/>
      <c r="AC54" s="9"/>
      <c r="AD54" s="84">
        <v>5100</v>
      </c>
      <c r="AE54" s="84">
        <v>12630</v>
      </c>
      <c r="AF54" s="9"/>
      <c r="AG54" s="84">
        <v>49</v>
      </c>
      <c r="AH54" s="74"/>
      <c r="AI54" s="9"/>
      <c r="AJ54" s="9"/>
      <c r="AK54" s="9"/>
      <c r="AL54" s="9">
        <v>17008.280509999997</v>
      </c>
      <c r="AM54" s="9">
        <v>56262.004019999993</v>
      </c>
      <c r="AN54" s="9"/>
      <c r="AO54" s="9"/>
      <c r="AP54" s="84">
        <v>1052</v>
      </c>
      <c r="AQ54" s="84">
        <v>4389</v>
      </c>
      <c r="AR54" s="9">
        <v>6520</v>
      </c>
      <c r="AS54" s="9">
        <v>23403</v>
      </c>
      <c r="AT54" s="9"/>
      <c r="AU54" s="9"/>
      <c r="AV54" s="84">
        <v>698</v>
      </c>
      <c r="AW54" s="84">
        <v>3658</v>
      </c>
      <c r="AX54" s="84">
        <v>13554</v>
      </c>
      <c r="AY54" s="84">
        <v>32280</v>
      </c>
      <c r="AZ54" s="84">
        <v>46</v>
      </c>
      <c r="BA54" s="84">
        <v>461</v>
      </c>
      <c r="BB54" s="9"/>
      <c r="BC54" s="9"/>
      <c r="BD54" s="84">
        <v>94117</v>
      </c>
      <c r="BE54" s="84">
        <v>344796</v>
      </c>
      <c r="BF54" s="84">
        <v>223158</v>
      </c>
      <c r="BG54" s="84">
        <v>656198</v>
      </c>
      <c r="BH54" s="84">
        <v>19710</v>
      </c>
      <c r="BI54" s="84">
        <v>53711</v>
      </c>
      <c r="BJ54" s="84">
        <v>25645</v>
      </c>
      <c r="BK54" s="84">
        <v>86513</v>
      </c>
      <c r="BL54" s="9"/>
      <c r="BM54" s="9"/>
      <c r="BN54" s="73">
        <f t="shared" ref="BN54:BN57" si="12">SUM(B54+D54+F54+H54+J54+L54+N54+P54+R54+T54+V54+X54+Z54+AB54+AD54+AF54+AH54+AJ54+AL54+AN54+AP54+AR54+AT54+AV54+AX54+AZ54+BB54+BD54+BF54+BH54+BJ54+BL54)</f>
        <v>461766.28051000001</v>
      </c>
      <c r="BO54" s="73">
        <f t="shared" ref="BO54:BO57" si="13">SUM(C54+E54+G54+I54+K54+M54+O54+Q54+S54+U54+W54+Y54+AA54+AC54+AE54+AG54+AI54+AK54+AM54+AO54+AQ54+AS54+AU54+AW54+AY54+BA54+BC54+BE54+BG54+BI54+BK54+BM54)</f>
        <v>1459974.0040199999</v>
      </c>
    </row>
    <row r="55" spans="1:67" x14ac:dyDescent="0.25">
      <c r="A55" s="25" t="s">
        <v>276</v>
      </c>
      <c r="B55" s="9"/>
      <c r="C55" s="9"/>
      <c r="D55" s="9"/>
      <c r="E55" s="9"/>
      <c r="F55" s="9"/>
      <c r="G55" s="9"/>
      <c r="H55" s="84"/>
      <c r="I55" s="84"/>
      <c r="J55" s="84">
        <v>931</v>
      </c>
      <c r="K55" s="84">
        <v>978</v>
      </c>
      <c r="L55" s="84"/>
      <c r="M55" s="84"/>
      <c r="N55" s="9"/>
      <c r="O55" s="9"/>
      <c r="P55" s="9"/>
      <c r="Q55" s="9"/>
      <c r="R55" s="84">
        <v>1329</v>
      </c>
      <c r="S55" s="84">
        <v>4458</v>
      </c>
      <c r="T55" s="9"/>
      <c r="U55" s="9"/>
      <c r="V55" s="84"/>
      <c r="W55" s="84">
        <v>134</v>
      </c>
      <c r="X55" s="84">
        <v>1103</v>
      </c>
      <c r="Y55" s="84">
        <v>3398</v>
      </c>
      <c r="Z55" s="84">
        <v>-306</v>
      </c>
      <c r="AA55" s="84">
        <v>65</v>
      </c>
      <c r="AB55" s="9"/>
      <c r="AC55" s="9"/>
      <c r="AD55" s="84"/>
      <c r="AE55" s="84">
        <v>508</v>
      </c>
      <c r="AF55" s="9"/>
      <c r="AG55" s="84"/>
      <c r="AH55" s="74"/>
      <c r="AI55" s="9"/>
      <c r="AJ55" s="9"/>
      <c r="AK55" s="9"/>
      <c r="AL55" s="9">
        <v>0</v>
      </c>
      <c r="AM55" s="9">
        <v>0</v>
      </c>
      <c r="AN55" s="9"/>
      <c r="AO55" s="9"/>
      <c r="AP55" s="84">
        <v>471</v>
      </c>
      <c r="AQ55" s="84">
        <v>1094</v>
      </c>
      <c r="AR55" s="9">
        <v>138</v>
      </c>
      <c r="AS55" s="9">
        <v>359</v>
      </c>
      <c r="AT55" s="9"/>
      <c r="AU55" s="9"/>
      <c r="AV55" s="84"/>
      <c r="AW55" s="84"/>
      <c r="AX55" s="84">
        <v>1406</v>
      </c>
      <c r="AY55" s="84">
        <v>3291</v>
      </c>
      <c r="AZ55" s="84"/>
      <c r="BA55" s="84"/>
      <c r="BB55" s="9"/>
      <c r="BC55" s="9"/>
      <c r="BD55" s="84">
        <v>34440</v>
      </c>
      <c r="BE55" s="84">
        <v>67624</v>
      </c>
      <c r="BF55" s="84">
        <v>26</v>
      </c>
      <c r="BG55" s="84">
        <v>2513</v>
      </c>
      <c r="BH55" s="84">
        <v>50</v>
      </c>
      <c r="BI55" s="84">
        <v>385</v>
      </c>
      <c r="BJ55" s="84">
        <v>-179</v>
      </c>
      <c r="BK55" s="84">
        <v>115</v>
      </c>
      <c r="BL55" s="9"/>
      <c r="BM55" s="9"/>
      <c r="BN55" s="73">
        <f t="shared" si="12"/>
        <v>39409</v>
      </c>
      <c r="BO55" s="73">
        <f t="shared" si="13"/>
        <v>84922</v>
      </c>
    </row>
    <row r="56" spans="1:67" x14ac:dyDescent="0.25">
      <c r="A56" s="25" t="s">
        <v>277</v>
      </c>
      <c r="B56" s="84">
        <v>4551</v>
      </c>
      <c r="C56" s="84">
        <v>8044</v>
      </c>
      <c r="D56" s="9"/>
      <c r="E56" s="9"/>
      <c r="F56" s="9"/>
      <c r="G56" s="9"/>
      <c r="H56" s="84">
        <v>1624</v>
      </c>
      <c r="I56" s="84">
        <v>19017</v>
      </c>
      <c r="J56" s="84">
        <v>3929</v>
      </c>
      <c r="K56" s="84">
        <v>12244</v>
      </c>
      <c r="L56" s="84">
        <v>255</v>
      </c>
      <c r="M56" s="84">
        <v>2333</v>
      </c>
      <c r="N56" s="9"/>
      <c r="O56" s="9"/>
      <c r="P56" s="9"/>
      <c r="Q56" s="9"/>
      <c r="R56" s="84">
        <v>4926</v>
      </c>
      <c r="S56" s="84">
        <v>19819</v>
      </c>
      <c r="T56" s="9"/>
      <c r="U56" s="9"/>
      <c r="V56" s="84">
        <v>-590</v>
      </c>
      <c r="W56" s="84">
        <v>-1932</v>
      </c>
      <c r="X56" s="84">
        <v>1182</v>
      </c>
      <c r="Y56" s="84">
        <v>1529</v>
      </c>
      <c r="Z56" s="84">
        <v>5768</v>
      </c>
      <c r="AA56" s="84">
        <v>15928</v>
      </c>
      <c r="AB56" s="9"/>
      <c r="AC56" s="9"/>
      <c r="AD56" s="84">
        <v>964</v>
      </c>
      <c r="AE56" s="84">
        <v>1880</v>
      </c>
      <c r="AF56" s="84">
        <v>-7</v>
      </c>
      <c r="AG56" s="84">
        <v>-61</v>
      </c>
      <c r="AH56" s="74"/>
      <c r="AI56" s="9"/>
      <c r="AJ56" s="9"/>
      <c r="AK56" s="9"/>
      <c r="AL56" s="9">
        <v>0.31400000000030559</v>
      </c>
      <c r="AM56" s="9">
        <v>2553.9255350000003</v>
      </c>
      <c r="AN56" s="9"/>
      <c r="AO56" s="9"/>
      <c r="AP56" s="84">
        <v>96</v>
      </c>
      <c r="AQ56" s="84">
        <v>436</v>
      </c>
      <c r="AR56" s="9">
        <v>3435</v>
      </c>
      <c r="AS56" s="9">
        <v>14656</v>
      </c>
      <c r="AT56" s="9"/>
      <c r="AU56" s="9"/>
      <c r="AV56" s="84">
        <v>-2446</v>
      </c>
      <c r="AW56" s="84">
        <v>-6917</v>
      </c>
      <c r="AX56" s="84">
        <v>23572</v>
      </c>
      <c r="AY56" s="84">
        <v>65934</v>
      </c>
      <c r="AZ56" s="84">
        <v>7</v>
      </c>
      <c r="BA56" s="84">
        <v>31</v>
      </c>
      <c r="BB56" s="9"/>
      <c r="BC56" s="9"/>
      <c r="BD56" s="84">
        <v>176616</v>
      </c>
      <c r="BE56" s="84">
        <v>577283</v>
      </c>
      <c r="BF56" s="84">
        <v>37234</v>
      </c>
      <c r="BG56" s="84">
        <v>137032</v>
      </c>
      <c r="BH56" s="84">
        <v>22353</v>
      </c>
      <c r="BI56" s="84">
        <v>35007</v>
      </c>
      <c r="BJ56" s="84">
        <v>1708</v>
      </c>
      <c r="BK56" s="84">
        <v>7403</v>
      </c>
      <c r="BL56" s="9"/>
      <c r="BM56" s="9"/>
      <c r="BN56" s="73">
        <f t="shared" si="12"/>
        <v>285177.31400000001</v>
      </c>
      <c r="BO56" s="73">
        <f t="shared" si="13"/>
        <v>912219.92553499993</v>
      </c>
    </row>
    <row r="57" spans="1:67" x14ac:dyDescent="0.25">
      <c r="A57" s="25" t="s">
        <v>226</v>
      </c>
      <c r="B57" s="84">
        <v>-4551</v>
      </c>
      <c r="C57" s="84">
        <v>-8044</v>
      </c>
      <c r="D57" s="9"/>
      <c r="E57" s="9"/>
      <c r="F57" s="9"/>
      <c r="G57" s="9"/>
      <c r="H57" s="84">
        <v>3467</v>
      </c>
      <c r="I57" s="84">
        <v>5683</v>
      </c>
      <c r="J57" s="84">
        <v>3586</v>
      </c>
      <c r="K57" s="84">
        <v>15426</v>
      </c>
      <c r="L57" s="84">
        <v>2128</v>
      </c>
      <c r="M57" s="84">
        <v>3379</v>
      </c>
      <c r="N57" s="9"/>
      <c r="O57" s="9"/>
      <c r="P57" s="9"/>
      <c r="Q57" s="9"/>
      <c r="R57" s="84">
        <v>3362</v>
      </c>
      <c r="S57" s="84">
        <v>3793</v>
      </c>
      <c r="T57" s="9"/>
      <c r="U57" s="9"/>
      <c r="V57" s="84">
        <v>4</v>
      </c>
      <c r="W57" s="84">
        <v>-149</v>
      </c>
      <c r="X57" s="84">
        <v>8736</v>
      </c>
      <c r="Y57" s="84">
        <v>30820</v>
      </c>
      <c r="Z57" s="84">
        <v>18656</v>
      </c>
      <c r="AA57" s="84">
        <v>62903</v>
      </c>
      <c r="AB57" s="9"/>
      <c r="AC57" s="9"/>
      <c r="AD57" s="84">
        <v>4136</v>
      </c>
      <c r="AE57" s="84">
        <v>11259</v>
      </c>
      <c r="AF57" s="84">
        <v>-7</v>
      </c>
      <c r="AG57" s="84">
        <v>-12</v>
      </c>
      <c r="AH57" s="74"/>
      <c r="AI57" s="9"/>
      <c r="AJ57" s="9"/>
      <c r="AK57" s="9"/>
      <c r="AL57" s="9">
        <v>17007.966509999998</v>
      </c>
      <c r="AM57" s="9">
        <v>53708.078484999991</v>
      </c>
      <c r="AN57" s="9"/>
      <c r="AO57" s="9"/>
      <c r="AP57" s="84">
        <v>1426</v>
      </c>
      <c r="AQ57" s="84">
        <v>5046</v>
      </c>
      <c r="AR57" s="9">
        <v>3223</v>
      </c>
      <c r="AS57" s="9">
        <v>9106</v>
      </c>
      <c r="AT57" s="9"/>
      <c r="AU57" s="9"/>
      <c r="AV57" s="84">
        <v>-1748</v>
      </c>
      <c r="AW57" s="84">
        <v>-3259</v>
      </c>
      <c r="AX57" s="84">
        <v>-8612</v>
      </c>
      <c r="AY57" s="84">
        <v>-30363</v>
      </c>
      <c r="AZ57" s="84">
        <v>39</v>
      </c>
      <c r="BA57" s="84">
        <v>430</v>
      </c>
      <c r="BB57" s="9"/>
      <c r="BC57" s="9"/>
      <c r="BD57" s="84">
        <v>-48059</v>
      </c>
      <c r="BE57" s="84">
        <v>-164863</v>
      </c>
      <c r="BF57" s="84">
        <v>185950</v>
      </c>
      <c r="BG57" s="84">
        <v>521679</v>
      </c>
      <c r="BH57" s="84">
        <v>-2593</v>
      </c>
      <c r="BI57" s="84">
        <v>19089</v>
      </c>
      <c r="BJ57" s="84">
        <v>23758</v>
      </c>
      <c r="BK57" s="84">
        <v>79225</v>
      </c>
      <c r="BL57" s="9"/>
      <c r="BM57" s="9"/>
      <c r="BN57" s="73">
        <f t="shared" si="12"/>
        <v>209908.96651</v>
      </c>
      <c r="BO57" s="73">
        <f t="shared" si="13"/>
        <v>614856.07848499995</v>
      </c>
    </row>
    <row r="58" spans="1:67" x14ac:dyDescent="0.25">
      <c r="A58" s="26"/>
    </row>
    <row r="59" spans="1:67" x14ac:dyDescent="0.25">
      <c r="A59" s="27" t="s">
        <v>223</v>
      </c>
    </row>
    <row r="60" spans="1:67" x14ac:dyDescent="0.25">
      <c r="A60" s="3" t="s">
        <v>0</v>
      </c>
      <c r="B60" s="103" t="s">
        <v>1</v>
      </c>
      <c r="C60" s="104"/>
      <c r="D60" s="103" t="s">
        <v>282</v>
      </c>
      <c r="E60" s="104"/>
      <c r="F60" s="103" t="s">
        <v>2</v>
      </c>
      <c r="G60" s="104"/>
      <c r="H60" s="103" t="s">
        <v>3</v>
      </c>
      <c r="I60" s="104"/>
      <c r="J60" s="103" t="s">
        <v>4</v>
      </c>
      <c r="K60" s="104"/>
      <c r="L60" s="103" t="s">
        <v>283</v>
      </c>
      <c r="M60" s="104"/>
      <c r="N60" s="103" t="s">
        <v>6</v>
      </c>
      <c r="O60" s="104"/>
      <c r="P60" s="103" t="s">
        <v>5</v>
      </c>
      <c r="Q60" s="104"/>
      <c r="R60" s="103" t="s">
        <v>7</v>
      </c>
      <c r="S60" s="104"/>
      <c r="T60" s="103" t="s">
        <v>284</v>
      </c>
      <c r="U60" s="104"/>
      <c r="V60" s="103" t="s">
        <v>8</v>
      </c>
      <c r="W60" s="104"/>
      <c r="X60" s="103" t="s">
        <v>9</v>
      </c>
      <c r="Y60" s="104"/>
      <c r="Z60" s="103" t="s">
        <v>10</v>
      </c>
      <c r="AA60" s="104"/>
      <c r="AB60" s="103" t="s">
        <v>304</v>
      </c>
      <c r="AC60" s="104"/>
      <c r="AD60" s="103" t="s">
        <v>11</v>
      </c>
      <c r="AE60" s="104"/>
      <c r="AF60" s="103" t="s">
        <v>12</v>
      </c>
      <c r="AG60" s="104"/>
      <c r="AH60" s="103" t="s">
        <v>285</v>
      </c>
      <c r="AI60" s="104"/>
      <c r="AJ60" s="103" t="s">
        <v>290</v>
      </c>
      <c r="AK60" s="104"/>
      <c r="AL60" s="103" t="s">
        <v>13</v>
      </c>
      <c r="AM60" s="104"/>
      <c r="AN60" s="103" t="s">
        <v>286</v>
      </c>
      <c r="AO60" s="104"/>
      <c r="AP60" s="103" t="s">
        <v>287</v>
      </c>
      <c r="AQ60" s="104"/>
      <c r="AR60" s="103" t="s">
        <v>291</v>
      </c>
      <c r="AS60" s="104"/>
      <c r="AT60" s="103" t="s">
        <v>305</v>
      </c>
      <c r="AU60" s="104"/>
      <c r="AV60" s="103" t="s">
        <v>14</v>
      </c>
      <c r="AW60" s="104"/>
      <c r="AX60" s="103" t="s">
        <v>15</v>
      </c>
      <c r="AY60" s="104"/>
      <c r="AZ60" s="103" t="s">
        <v>16</v>
      </c>
      <c r="BA60" s="104"/>
      <c r="BB60" s="103" t="s">
        <v>17</v>
      </c>
      <c r="BC60" s="104"/>
      <c r="BD60" s="103" t="s">
        <v>18</v>
      </c>
      <c r="BE60" s="104"/>
      <c r="BF60" s="103" t="s">
        <v>288</v>
      </c>
      <c r="BG60" s="104"/>
      <c r="BH60" s="103" t="s">
        <v>289</v>
      </c>
      <c r="BI60" s="104"/>
      <c r="BJ60" s="103" t="s">
        <v>19</v>
      </c>
      <c r="BK60" s="104"/>
      <c r="BL60" s="103" t="s">
        <v>20</v>
      </c>
      <c r="BM60" s="104"/>
      <c r="BN60" s="105" t="s">
        <v>21</v>
      </c>
      <c r="BO60" s="106"/>
    </row>
    <row r="61" spans="1:67" ht="30" x14ac:dyDescent="0.25">
      <c r="A61" s="3"/>
      <c r="B61" s="57" t="s">
        <v>293</v>
      </c>
      <c r="C61" s="58" t="s">
        <v>294</v>
      </c>
      <c r="D61" s="57" t="s">
        <v>293</v>
      </c>
      <c r="E61" s="58" t="s">
        <v>294</v>
      </c>
      <c r="F61" s="57" t="s">
        <v>293</v>
      </c>
      <c r="G61" s="58" t="s">
        <v>294</v>
      </c>
      <c r="H61" s="57" t="s">
        <v>293</v>
      </c>
      <c r="I61" s="58" t="s">
        <v>294</v>
      </c>
      <c r="J61" s="57" t="s">
        <v>293</v>
      </c>
      <c r="K61" s="58" t="s">
        <v>294</v>
      </c>
      <c r="L61" s="57" t="s">
        <v>293</v>
      </c>
      <c r="M61" s="58" t="s">
        <v>294</v>
      </c>
      <c r="N61" s="57" t="s">
        <v>293</v>
      </c>
      <c r="O61" s="58" t="s">
        <v>294</v>
      </c>
      <c r="P61" s="57" t="s">
        <v>293</v>
      </c>
      <c r="Q61" s="58" t="s">
        <v>294</v>
      </c>
      <c r="R61" s="57" t="s">
        <v>293</v>
      </c>
      <c r="S61" s="58" t="s">
        <v>294</v>
      </c>
      <c r="T61" s="57" t="s">
        <v>293</v>
      </c>
      <c r="U61" s="58" t="s">
        <v>294</v>
      </c>
      <c r="V61" s="57" t="s">
        <v>293</v>
      </c>
      <c r="W61" s="58" t="s">
        <v>294</v>
      </c>
      <c r="X61" s="57" t="s">
        <v>293</v>
      </c>
      <c r="Y61" s="58" t="s">
        <v>294</v>
      </c>
      <c r="Z61" s="57" t="s">
        <v>293</v>
      </c>
      <c r="AA61" s="58" t="s">
        <v>294</v>
      </c>
      <c r="AB61" s="57" t="s">
        <v>293</v>
      </c>
      <c r="AC61" s="58" t="s">
        <v>294</v>
      </c>
      <c r="AD61" s="57" t="s">
        <v>293</v>
      </c>
      <c r="AE61" s="58" t="s">
        <v>294</v>
      </c>
      <c r="AF61" s="57" t="s">
        <v>293</v>
      </c>
      <c r="AG61" s="58" t="s">
        <v>294</v>
      </c>
      <c r="AH61" s="57" t="s">
        <v>293</v>
      </c>
      <c r="AI61" s="58" t="s">
        <v>294</v>
      </c>
      <c r="AJ61" s="57" t="s">
        <v>293</v>
      </c>
      <c r="AK61" s="58" t="s">
        <v>294</v>
      </c>
      <c r="AL61" s="57" t="s">
        <v>293</v>
      </c>
      <c r="AM61" s="58" t="s">
        <v>294</v>
      </c>
      <c r="AN61" s="57" t="s">
        <v>293</v>
      </c>
      <c r="AO61" s="58" t="s">
        <v>294</v>
      </c>
      <c r="AP61" s="57" t="s">
        <v>293</v>
      </c>
      <c r="AQ61" s="58" t="s">
        <v>294</v>
      </c>
      <c r="AR61" s="57" t="s">
        <v>293</v>
      </c>
      <c r="AS61" s="58" t="s">
        <v>294</v>
      </c>
      <c r="AT61" s="57" t="s">
        <v>293</v>
      </c>
      <c r="AU61" s="58" t="s">
        <v>294</v>
      </c>
      <c r="AV61" s="57" t="s">
        <v>293</v>
      </c>
      <c r="AW61" s="58" t="s">
        <v>294</v>
      </c>
      <c r="AX61" s="57" t="s">
        <v>293</v>
      </c>
      <c r="AY61" s="58" t="s">
        <v>294</v>
      </c>
      <c r="AZ61" s="57" t="s">
        <v>293</v>
      </c>
      <c r="BA61" s="58" t="s">
        <v>294</v>
      </c>
      <c r="BB61" s="57" t="s">
        <v>293</v>
      </c>
      <c r="BC61" s="58" t="s">
        <v>294</v>
      </c>
      <c r="BD61" s="57" t="s">
        <v>293</v>
      </c>
      <c r="BE61" s="58" t="s">
        <v>294</v>
      </c>
      <c r="BF61" s="57" t="s">
        <v>293</v>
      </c>
      <c r="BG61" s="58" t="s">
        <v>294</v>
      </c>
      <c r="BH61" s="57" t="s">
        <v>293</v>
      </c>
      <c r="BI61" s="58" t="s">
        <v>294</v>
      </c>
      <c r="BJ61" s="57" t="s">
        <v>293</v>
      </c>
      <c r="BK61" s="58" t="s">
        <v>294</v>
      </c>
      <c r="BL61" s="57" t="s">
        <v>293</v>
      </c>
      <c r="BM61" s="58" t="s">
        <v>294</v>
      </c>
      <c r="BN61" s="57" t="s">
        <v>293</v>
      </c>
      <c r="BO61" s="58" t="s">
        <v>294</v>
      </c>
    </row>
    <row r="62" spans="1:67" x14ac:dyDescent="0.25">
      <c r="A62" s="25" t="s">
        <v>225</v>
      </c>
      <c r="B62" s="9"/>
      <c r="C62" s="9"/>
      <c r="D62" s="9"/>
      <c r="E62" s="9"/>
      <c r="F62" s="9"/>
      <c r="G62" s="9"/>
      <c r="H62" s="84">
        <v>3544</v>
      </c>
      <c r="I62" s="84">
        <v>8382</v>
      </c>
      <c r="J62" s="9"/>
      <c r="K62" s="9"/>
      <c r="L62" s="9"/>
      <c r="M62" s="9"/>
      <c r="N62" s="9"/>
      <c r="O62" s="9"/>
      <c r="P62" s="9"/>
      <c r="Q62" s="9"/>
      <c r="R62" s="9"/>
      <c r="S62" s="84">
        <v>23</v>
      </c>
      <c r="T62" s="9"/>
      <c r="U62" s="9"/>
      <c r="V62" s="84">
        <v>2604</v>
      </c>
      <c r="W62" s="84">
        <v>3222</v>
      </c>
      <c r="X62" s="84">
        <v>3161</v>
      </c>
      <c r="Y62" s="84">
        <v>9727</v>
      </c>
      <c r="Z62" s="9"/>
      <c r="AA62" s="84">
        <v>20</v>
      </c>
      <c r="AB62" s="9"/>
      <c r="AC62" s="9"/>
      <c r="AD62" s="9"/>
      <c r="AE62" s="9"/>
      <c r="AF62" s="9"/>
      <c r="AG62" s="9"/>
      <c r="AH62" s="10"/>
      <c r="AI62" s="9"/>
      <c r="AJ62" s="9"/>
      <c r="AK62" s="9"/>
      <c r="AL62" s="9">
        <v>3373.067</v>
      </c>
      <c r="AM62" s="9">
        <v>9018.8379999999997</v>
      </c>
      <c r="AN62" s="9"/>
      <c r="AO62" s="9"/>
      <c r="AP62" s="9"/>
      <c r="AQ62" s="9"/>
      <c r="AR62" s="9">
        <v>319</v>
      </c>
      <c r="AS62" s="9">
        <v>1933</v>
      </c>
      <c r="AT62" s="9"/>
      <c r="AU62" s="9"/>
      <c r="AV62" s="9"/>
      <c r="AW62" s="9"/>
      <c r="AX62" s="84">
        <v>40</v>
      </c>
      <c r="AY62" s="84">
        <v>135</v>
      </c>
      <c r="AZ62" s="9"/>
      <c r="BA62" s="9"/>
      <c r="BB62" s="9"/>
      <c r="BC62" s="9"/>
      <c r="BD62" s="9"/>
      <c r="BE62" s="9"/>
      <c r="BF62" s="84">
        <v>5588</v>
      </c>
      <c r="BG62" s="84">
        <v>29929</v>
      </c>
      <c r="BH62" s="84">
        <v>1455</v>
      </c>
      <c r="BI62" s="84">
        <v>4954</v>
      </c>
      <c r="BJ62" s="84">
        <v>2212</v>
      </c>
      <c r="BK62" s="84">
        <v>7397</v>
      </c>
      <c r="BL62" s="9"/>
      <c r="BM62" s="9"/>
      <c r="BN62" s="73">
        <f>SUM(B62+D62+F62+H62+J62+L62+N62+P62+R62+T62+V62+X62+Z62+AB62+AD62+AF62+AH62+AJ62+AL62+AN62+AP62+AR62+AT62+AV62+AX62+AZ62+BB62+BD62+BF62+BH62+BJ62+BL62)</f>
        <v>22296.066999999999</v>
      </c>
      <c r="BO62" s="73">
        <f>SUM(C62+E62+G62+I62+K62+M62+O62+Q62+S62+U62+W62+Y62+AA62+AC62+AE62+AG62+AI62+AK62+AM62+AO62+AQ62+AS62+AU62+AW62+AY62+BA62+BC62+BE62+BG62+BI62+BK62+BM62)</f>
        <v>74740.838000000003</v>
      </c>
    </row>
    <row r="63" spans="1:67" x14ac:dyDescent="0.25">
      <c r="A63" s="25" t="s">
        <v>276</v>
      </c>
      <c r="B63" s="9"/>
      <c r="C63" s="9"/>
      <c r="D63" s="9"/>
      <c r="E63" s="9"/>
      <c r="F63" s="9"/>
      <c r="G63" s="9"/>
      <c r="H63" s="84"/>
      <c r="I63" s="84"/>
      <c r="J63" s="9"/>
      <c r="K63" s="9"/>
      <c r="L63" s="9"/>
      <c r="M63" s="9"/>
      <c r="N63" s="9"/>
      <c r="O63" s="9"/>
      <c r="P63" s="9"/>
      <c r="Q63" s="9"/>
      <c r="R63" s="9"/>
      <c r="S63" s="84"/>
      <c r="T63" s="9"/>
      <c r="U63" s="9"/>
      <c r="V63" s="84"/>
      <c r="W63" s="84">
        <v>-72</v>
      </c>
      <c r="X63" s="84">
        <v>1924</v>
      </c>
      <c r="Y63" s="84">
        <v>5197</v>
      </c>
      <c r="Z63" s="9"/>
      <c r="AA63" s="84"/>
      <c r="AB63" s="9"/>
      <c r="AC63" s="9"/>
      <c r="AD63" s="9"/>
      <c r="AE63" s="9"/>
      <c r="AF63" s="9"/>
      <c r="AG63" s="9"/>
      <c r="AH63" s="10"/>
      <c r="AI63" s="9"/>
      <c r="AJ63" s="9"/>
      <c r="AK63" s="9"/>
      <c r="AL63" s="9">
        <v>3940.1900000000005</v>
      </c>
      <c r="AM63" s="9">
        <v>9825.8580000000002</v>
      </c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84"/>
      <c r="AY63" s="84"/>
      <c r="AZ63" s="9"/>
      <c r="BA63" s="9"/>
      <c r="BB63" s="9"/>
      <c r="BC63" s="9"/>
      <c r="BD63" s="9"/>
      <c r="BE63" s="9"/>
      <c r="BF63" s="84">
        <v>42327</v>
      </c>
      <c r="BG63" s="84">
        <v>118324</v>
      </c>
      <c r="BH63" s="84">
        <v>417566</v>
      </c>
      <c r="BI63" s="84">
        <v>458143</v>
      </c>
      <c r="BJ63" s="84">
        <v>5565</v>
      </c>
      <c r="BK63" s="84">
        <v>20522</v>
      </c>
      <c r="BL63" s="9"/>
      <c r="BM63" s="9"/>
      <c r="BN63" s="73">
        <f t="shared" ref="BN63:BN65" si="14">SUM(B63+D63+F63+H63+J63+L63+N63+P63+R63+T63+V63+X63+Z63+AB63+AD63+AF63+AH63+AJ63+AL63+AN63+AP63+AR63+AT63+AV63+AX63+AZ63+BB63+BD63+BF63+BH63+BJ63+BL63)</f>
        <v>471322.19</v>
      </c>
      <c r="BO63" s="73">
        <f t="shared" ref="BO63:BO65" si="15">SUM(C63+E63+G63+I63+K63+M63+O63+Q63+S63+U63+W63+Y63+AA63+AC63+AE63+AG63+AI63+AK63+AM63+AO63+AQ63+AS63+AU63+AW63+AY63+BA63+BC63+BE63+BG63+BI63+BK63+BM63)</f>
        <v>611939.85800000001</v>
      </c>
    </row>
    <row r="64" spans="1:67" x14ac:dyDescent="0.25">
      <c r="A64" s="25" t="s">
        <v>277</v>
      </c>
      <c r="B64" s="9"/>
      <c r="C64" s="9"/>
      <c r="D64" s="9"/>
      <c r="E64" s="9"/>
      <c r="F64" s="9"/>
      <c r="G64" s="9"/>
      <c r="H64" s="84">
        <v>2315</v>
      </c>
      <c r="I64" s="84">
        <v>6659</v>
      </c>
      <c r="J64" s="9"/>
      <c r="K64" s="9"/>
      <c r="L64" s="9"/>
      <c r="M64" s="9"/>
      <c r="N64" s="9"/>
      <c r="O64" s="9"/>
      <c r="P64" s="9"/>
      <c r="Q64" s="9"/>
      <c r="R64" s="9"/>
      <c r="S64" s="84">
        <v>8</v>
      </c>
      <c r="T64" s="9"/>
      <c r="U64" s="9"/>
      <c r="V64" s="84">
        <v>-2796</v>
      </c>
      <c r="W64" s="84">
        <v>-4769</v>
      </c>
      <c r="X64" s="84">
        <v>1483</v>
      </c>
      <c r="Y64" s="84">
        <v>7710</v>
      </c>
      <c r="Z64" s="9"/>
      <c r="AA64" s="84">
        <v>10</v>
      </c>
      <c r="AB64" s="9"/>
      <c r="AC64" s="9"/>
      <c r="AD64" s="9"/>
      <c r="AE64" s="9"/>
      <c r="AF64" s="9"/>
      <c r="AG64" s="9"/>
      <c r="AH64" s="10"/>
      <c r="AI64" s="9"/>
      <c r="AJ64" s="9"/>
      <c r="AK64" s="9"/>
      <c r="AL64" s="9">
        <v>2382.402</v>
      </c>
      <c r="AM64" s="9">
        <v>14305.034</v>
      </c>
      <c r="AN64" s="9"/>
      <c r="AO64" s="9"/>
      <c r="AP64" s="9"/>
      <c r="AQ64" s="9"/>
      <c r="AR64" s="9">
        <v>610</v>
      </c>
      <c r="AS64" s="9">
        <v>3386</v>
      </c>
      <c r="AT64" s="9"/>
      <c r="AU64" s="9"/>
      <c r="AV64" s="9"/>
      <c r="AW64" s="9"/>
      <c r="AX64" s="84">
        <v>2</v>
      </c>
      <c r="AY64" s="84">
        <v>6</v>
      </c>
      <c r="AZ64" s="9"/>
      <c r="BA64" s="9"/>
      <c r="BB64" s="9"/>
      <c r="BC64" s="9"/>
      <c r="BD64" s="9"/>
      <c r="BE64" s="9"/>
      <c r="BF64" s="84">
        <v>21838</v>
      </c>
      <c r="BG64" s="84">
        <v>54293</v>
      </c>
      <c r="BH64" s="84">
        <v>100697</v>
      </c>
      <c r="BI64" s="84">
        <v>141455</v>
      </c>
      <c r="BJ64" s="84">
        <v>7384</v>
      </c>
      <c r="BK64" s="84">
        <v>18149</v>
      </c>
      <c r="BL64" s="9"/>
      <c r="BM64" s="9"/>
      <c r="BN64" s="73">
        <f t="shared" si="14"/>
        <v>133915.402</v>
      </c>
      <c r="BO64" s="73">
        <f t="shared" si="15"/>
        <v>241212.03399999999</v>
      </c>
    </row>
    <row r="65" spans="1:67" x14ac:dyDescent="0.25">
      <c r="A65" s="25" t="s">
        <v>226</v>
      </c>
      <c r="B65" s="9"/>
      <c r="C65" s="9"/>
      <c r="D65" s="9"/>
      <c r="E65" s="9"/>
      <c r="F65" s="9"/>
      <c r="G65" s="9"/>
      <c r="H65" s="84">
        <v>1229</v>
      </c>
      <c r="I65" s="84">
        <v>1723</v>
      </c>
      <c r="J65" s="9"/>
      <c r="K65" s="9"/>
      <c r="L65" s="9"/>
      <c r="M65" s="9"/>
      <c r="N65" s="9"/>
      <c r="O65" s="9"/>
      <c r="P65" s="9"/>
      <c r="Q65" s="9"/>
      <c r="R65" s="9"/>
      <c r="S65" s="84">
        <v>14</v>
      </c>
      <c r="T65" s="9"/>
      <c r="U65" s="9"/>
      <c r="V65" s="84">
        <v>-192</v>
      </c>
      <c r="W65" s="84">
        <v>-1619</v>
      </c>
      <c r="X65" s="84">
        <v>3602</v>
      </c>
      <c r="Y65" s="84">
        <v>7214</v>
      </c>
      <c r="Z65" s="9"/>
      <c r="AA65" s="84">
        <v>10</v>
      </c>
      <c r="AB65" s="9"/>
      <c r="AC65" s="9"/>
      <c r="AD65" s="9"/>
      <c r="AE65" s="9"/>
      <c r="AF65" s="9"/>
      <c r="AG65" s="9"/>
      <c r="AH65" s="10"/>
      <c r="AI65" s="9"/>
      <c r="AJ65" s="9"/>
      <c r="AK65" s="9"/>
      <c r="AL65" s="9">
        <v>4930.8550000000005</v>
      </c>
      <c r="AM65" s="9">
        <v>4539.6620000000003</v>
      </c>
      <c r="AN65" s="9"/>
      <c r="AO65" s="9"/>
      <c r="AP65" s="9"/>
      <c r="AQ65" s="9"/>
      <c r="AR65" s="9">
        <v>-291</v>
      </c>
      <c r="AS65" s="9">
        <v>-1453</v>
      </c>
      <c r="AT65" s="9"/>
      <c r="AU65" s="9"/>
      <c r="AV65" s="9"/>
      <c r="AW65" s="9"/>
      <c r="AX65" s="84">
        <v>38</v>
      </c>
      <c r="AY65" s="84">
        <v>129</v>
      </c>
      <c r="AZ65" s="9"/>
      <c r="BA65" s="9"/>
      <c r="BB65" s="9"/>
      <c r="BC65" s="9"/>
      <c r="BD65" s="9"/>
      <c r="BE65" s="9"/>
      <c r="BF65" s="84">
        <v>26078</v>
      </c>
      <c r="BG65" s="84">
        <v>93961</v>
      </c>
      <c r="BH65" s="84">
        <v>318324</v>
      </c>
      <c r="BI65" s="84">
        <v>321642</v>
      </c>
      <c r="BJ65" s="84">
        <v>393</v>
      </c>
      <c r="BK65" s="84">
        <v>9770</v>
      </c>
      <c r="BL65" s="9"/>
      <c r="BM65" s="9"/>
      <c r="BN65" s="73">
        <f t="shared" si="14"/>
        <v>354111.85499999998</v>
      </c>
      <c r="BO65" s="73">
        <f t="shared" si="15"/>
        <v>435930.66200000001</v>
      </c>
    </row>
    <row r="66" spans="1:67" x14ac:dyDescent="0.25">
      <c r="A66" s="23"/>
    </row>
    <row r="67" spans="1:67" x14ac:dyDescent="0.25">
      <c r="A67" s="24" t="s">
        <v>224</v>
      </c>
    </row>
    <row r="68" spans="1:67" x14ac:dyDescent="0.25">
      <c r="A68" s="3" t="s">
        <v>0</v>
      </c>
      <c r="B68" s="103" t="s">
        <v>1</v>
      </c>
      <c r="C68" s="104"/>
      <c r="D68" s="103" t="s">
        <v>282</v>
      </c>
      <c r="E68" s="104"/>
      <c r="F68" s="103" t="s">
        <v>2</v>
      </c>
      <c r="G68" s="104"/>
      <c r="H68" s="103" t="s">
        <v>3</v>
      </c>
      <c r="I68" s="104"/>
      <c r="J68" s="103" t="s">
        <v>4</v>
      </c>
      <c r="K68" s="104"/>
      <c r="L68" s="103" t="s">
        <v>283</v>
      </c>
      <c r="M68" s="104"/>
      <c r="N68" s="103" t="s">
        <v>6</v>
      </c>
      <c r="O68" s="104"/>
      <c r="P68" s="103" t="s">
        <v>5</v>
      </c>
      <c r="Q68" s="104"/>
      <c r="R68" s="103" t="s">
        <v>7</v>
      </c>
      <c r="S68" s="104"/>
      <c r="T68" s="103" t="s">
        <v>284</v>
      </c>
      <c r="U68" s="104"/>
      <c r="V68" s="103" t="s">
        <v>8</v>
      </c>
      <c r="W68" s="104"/>
      <c r="X68" s="103" t="s">
        <v>9</v>
      </c>
      <c r="Y68" s="104"/>
      <c r="Z68" s="103" t="s">
        <v>10</v>
      </c>
      <c r="AA68" s="104"/>
      <c r="AB68" s="103" t="s">
        <v>304</v>
      </c>
      <c r="AC68" s="104"/>
      <c r="AD68" s="103" t="s">
        <v>11</v>
      </c>
      <c r="AE68" s="104"/>
      <c r="AF68" s="103" t="s">
        <v>12</v>
      </c>
      <c r="AG68" s="104"/>
      <c r="AH68" s="103" t="s">
        <v>285</v>
      </c>
      <c r="AI68" s="104"/>
      <c r="AJ68" s="103" t="s">
        <v>290</v>
      </c>
      <c r="AK68" s="104"/>
      <c r="AL68" s="103" t="s">
        <v>13</v>
      </c>
      <c r="AM68" s="104"/>
      <c r="AN68" s="103" t="s">
        <v>286</v>
      </c>
      <c r="AO68" s="104"/>
      <c r="AP68" s="103" t="s">
        <v>287</v>
      </c>
      <c r="AQ68" s="104"/>
      <c r="AR68" s="103" t="s">
        <v>291</v>
      </c>
      <c r="AS68" s="104"/>
      <c r="AT68" s="103" t="s">
        <v>305</v>
      </c>
      <c r="AU68" s="104"/>
      <c r="AV68" s="103" t="s">
        <v>14</v>
      </c>
      <c r="AW68" s="104"/>
      <c r="AX68" s="103" t="s">
        <v>15</v>
      </c>
      <c r="AY68" s="104"/>
      <c r="AZ68" s="103" t="s">
        <v>16</v>
      </c>
      <c r="BA68" s="104"/>
      <c r="BB68" s="103" t="s">
        <v>17</v>
      </c>
      <c r="BC68" s="104"/>
      <c r="BD68" s="103" t="s">
        <v>18</v>
      </c>
      <c r="BE68" s="104"/>
      <c r="BF68" s="103" t="s">
        <v>288</v>
      </c>
      <c r="BG68" s="104"/>
      <c r="BH68" s="103" t="s">
        <v>289</v>
      </c>
      <c r="BI68" s="104"/>
      <c r="BJ68" s="103" t="s">
        <v>19</v>
      </c>
      <c r="BK68" s="104"/>
      <c r="BL68" s="103" t="s">
        <v>20</v>
      </c>
      <c r="BM68" s="104"/>
      <c r="BN68" s="105" t="s">
        <v>21</v>
      </c>
      <c r="BO68" s="106"/>
    </row>
    <row r="69" spans="1:67" ht="30" x14ac:dyDescent="0.25">
      <c r="A69" s="3"/>
      <c r="B69" s="57" t="s">
        <v>293</v>
      </c>
      <c r="C69" s="58" t="s">
        <v>294</v>
      </c>
      <c r="D69" s="57" t="s">
        <v>293</v>
      </c>
      <c r="E69" s="58" t="s">
        <v>294</v>
      </c>
      <c r="F69" s="57" t="s">
        <v>293</v>
      </c>
      <c r="G69" s="58" t="s">
        <v>294</v>
      </c>
      <c r="H69" s="57" t="s">
        <v>293</v>
      </c>
      <c r="I69" s="58" t="s">
        <v>294</v>
      </c>
      <c r="J69" s="57" t="s">
        <v>293</v>
      </c>
      <c r="K69" s="58" t="s">
        <v>294</v>
      </c>
      <c r="L69" s="57" t="s">
        <v>293</v>
      </c>
      <c r="M69" s="58" t="s">
        <v>294</v>
      </c>
      <c r="N69" s="57" t="s">
        <v>293</v>
      </c>
      <c r="O69" s="58" t="s">
        <v>294</v>
      </c>
      <c r="P69" s="57" t="s">
        <v>293</v>
      </c>
      <c r="Q69" s="58" t="s">
        <v>294</v>
      </c>
      <c r="R69" s="57" t="s">
        <v>293</v>
      </c>
      <c r="S69" s="58" t="s">
        <v>294</v>
      </c>
      <c r="T69" s="57" t="s">
        <v>293</v>
      </c>
      <c r="U69" s="58" t="s">
        <v>294</v>
      </c>
      <c r="V69" s="57" t="s">
        <v>293</v>
      </c>
      <c r="W69" s="58" t="s">
        <v>294</v>
      </c>
      <c r="X69" s="57" t="s">
        <v>293</v>
      </c>
      <c r="Y69" s="58" t="s">
        <v>294</v>
      </c>
      <c r="Z69" s="57" t="s">
        <v>293</v>
      </c>
      <c r="AA69" s="58" t="s">
        <v>294</v>
      </c>
      <c r="AB69" s="57" t="s">
        <v>293</v>
      </c>
      <c r="AC69" s="58" t="s">
        <v>294</v>
      </c>
      <c r="AD69" s="57" t="s">
        <v>293</v>
      </c>
      <c r="AE69" s="58" t="s">
        <v>294</v>
      </c>
      <c r="AF69" s="57" t="s">
        <v>293</v>
      </c>
      <c r="AG69" s="58" t="s">
        <v>294</v>
      </c>
      <c r="AH69" s="57" t="s">
        <v>293</v>
      </c>
      <c r="AI69" s="58" t="s">
        <v>294</v>
      </c>
      <c r="AJ69" s="57" t="s">
        <v>293</v>
      </c>
      <c r="AK69" s="58" t="s">
        <v>294</v>
      </c>
      <c r="AL69" s="57" t="s">
        <v>293</v>
      </c>
      <c r="AM69" s="58" t="s">
        <v>294</v>
      </c>
      <c r="AN69" s="57" t="s">
        <v>293</v>
      </c>
      <c r="AO69" s="58" t="s">
        <v>294</v>
      </c>
      <c r="AP69" s="57" t="s">
        <v>293</v>
      </c>
      <c r="AQ69" s="58" t="s">
        <v>294</v>
      </c>
      <c r="AR69" s="57" t="s">
        <v>293</v>
      </c>
      <c r="AS69" s="58" t="s">
        <v>294</v>
      </c>
      <c r="AT69" s="57" t="s">
        <v>293</v>
      </c>
      <c r="AU69" s="58" t="s">
        <v>294</v>
      </c>
      <c r="AV69" s="57" t="s">
        <v>293</v>
      </c>
      <c r="AW69" s="58" t="s">
        <v>294</v>
      </c>
      <c r="AX69" s="57" t="s">
        <v>293</v>
      </c>
      <c r="AY69" s="58" t="s">
        <v>294</v>
      </c>
      <c r="AZ69" s="57" t="s">
        <v>293</v>
      </c>
      <c r="BA69" s="58" t="s">
        <v>294</v>
      </c>
      <c r="BB69" s="57" t="s">
        <v>293</v>
      </c>
      <c r="BC69" s="58" t="s">
        <v>294</v>
      </c>
      <c r="BD69" s="57" t="s">
        <v>293</v>
      </c>
      <c r="BE69" s="58" t="s">
        <v>294</v>
      </c>
      <c r="BF69" s="57" t="s">
        <v>293</v>
      </c>
      <c r="BG69" s="58" t="s">
        <v>294</v>
      </c>
      <c r="BH69" s="57" t="s">
        <v>293</v>
      </c>
      <c r="BI69" s="58" t="s">
        <v>294</v>
      </c>
      <c r="BJ69" s="57" t="s">
        <v>293</v>
      </c>
      <c r="BK69" s="58" t="s">
        <v>294</v>
      </c>
      <c r="BL69" s="57" t="s">
        <v>293</v>
      </c>
      <c r="BM69" s="58" t="s">
        <v>294</v>
      </c>
      <c r="BN69" s="57" t="s">
        <v>293</v>
      </c>
      <c r="BO69" s="58" t="s">
        <v>294</v>
      </c>
    </row>
    <row r="70" spans="1:67" x14ac:dyDescent="0.25">
      <c r="A70" s="25" t="s">
        <v>225</v>
      </c>
      <c r="B70" s="9">
        <f>B78-B62-B54-B46-B38-B30-B22-B14-B6</f>
        <v>0</v>
      </c>
      <c r="C70" s="9">
        <f t="shared" ref="C70:AG70" si="16">C78-C62-C54-C46-C38-C30-C22-C14-C6</f>
        <v>0</v>
      </c>
      <c r="D70" s="9">
        <f t="shared" si="16"/>
        <v>0</v>
      </c>
      <c r="E70" s="9">
        <f t="shared" si="16"/>
        <v>0</v>
      </c>
      <c r="F70" s="9">
        <f t="shared" si="16"/>
        <v>181452</v>
      </c>
      <c r="G70" s="9">
        <f t="shared" si="16"/>
        <v>292194</v>
      </c>
      <c r="H70" s="9">
        <f t="shared" si="16"/>
        <v>221120</v>
      </c>
      <c r="I70" s="9">
        <f t="shared" si="16"/>
        <v>579536</v>
      </c>
      <c r="J70" s="9">
        <f t="shared" si="16"/>
        <v>12122</v>
      </c>
      <c r="K70" s="9">
        <f t="shared" si="16"/>
        <v>35311</v>
      </c>
      <c r="L70" s="9">
        <f t="shared" si="16"/>
        <v>11867</v>
      </c>
      <c r="M70" s="9">
        <f t="shared" si="16"/>
        <v>32376</v>
      </c>
      <c r="N70" s="9">
        <f t="shared" si="16"/>
        <v>19121.07</v>
      </c>
      <c r="O70" s="9">
        <f t="shared" si="16"/>
        <v>42311.01</v>
      </c>
      <c r="P70" s="9">
        <f t="shared" si="16"/>
        <v>142</v>
      </c>
      <c r="Q70" s="9">
        <f t="shared" si="16"/>
        <v>409</v>
      </c>
      <c r="R70" s="9">
        <f t="shared" si="16"/>
        <v>58605</v>
      </c>
      <c r="S70" s="9">
        <f t="shared" si="16"/>
        <v>145757</v>
      </c>
      <c r="T70" s="9">
        <f t="shared" si="16"/>
        <v>11723</v>
      </c>
      <c r="U70" s="9">
        <f t="shared" si="16"/>
        <v>39208</v>
      </c>
      <c r="V70" s="9">
        <f t="shared" si="16"/>
        <v>179369</v>
      </c>
      <c r="W70" s="9">
        <f t="shared" si="16"/>
        <v>466566</v>
      </c>
      <c r="X70" s="9">
        <f t="shared" si="16"/>
        <v>206809</v>
      </c>
      <c r="Y70" s="9">
        <f t="shared" si="16"/>
        <v>529767</v>
      </c>
      <c r="Z70" s="9">
        <f t="shared" si="16"/>
        <v>121150</v>
      </c>
      <c r="AA70" s="9">
        <f t="shared" si="16"/>
        <v>343494</v>
      </c>
      <c r="AB70" s="9">
        <f t="shared" si="16"/>
        <v>5273</v>
      </c>
      <c r="AC70" s="9">
        <f t="shared" si="16"/>
        <v>11819</v>
      </c>
      <c r="AD70" s="9">
        <f t="shared" si="16"/>
        <v>23908</v>
      </c>
      <c r="AE70" s="9">
        <f t="shared" si="16"/>
        <v>70907</v>
      </c>
      <c r="AF70" s="9">
        <f t="shared" si="16"/>
        <v>1891</v>
      </c>
      <c r="AG70" s="9">
        <f t="shared" si="16"/>
        <v>6839</v>
      </c>
      <c r="AH70" s="9">
        <f t="shared" ref="AH70:BM70" si="17">AH78-AH62-AH54-AH46-AH38-AH30-AH22-AH14-AH6</f>
        <v>0</v>
      </c>
      <c r="AI70" s="9">
        <f t="shared" si="17"/>
        <v>0</v>
      </c>
      <c r="AJ70" s="9">
        <f t="shared" si="17"/>
        <v>0</v>
      </c>
      <c r="AK70" s="9">
        <f t="shared" si="17"/>
        <v>0</v>
      </c>
      <c r="AL70" s="9">
        <f t="shared" si="17"/>
        <v>126499.52399999986</v>
      </c>
      <c r="AM70" s="9">
        <f t="shared" si="17"/>
        <v>321872.83700000006</v>
      </c>
      <c r="AN70" s="9">
        <f t="shared" si="17"/>
        <v>680</v>
      </c>
      <c r="AO70" s="9">
        <f t="shared" si="17"/>
        <v>794</v>
      </c>
      <c r="AP70" s="9">
        <f t="shared" si="17"/>
        <v>20077</v>
      </c>
      <c r="AQ70" s="9">
        <f t="shared" si="17"/>
        <v>64987</v>
      </c>
      <c r="AR70" s="9">
        <f t="shared" si="17"/>
        <v>16138</v>
      </c>
      <c r="AS70" s="9">
        <f t="shared" si="17"/>
        <v>47904</v>
      </c>
      <c r="AT70" s="9">
        <f t="shared" si="17"/>
        <v>0</v>
      </c>
      <c r="AU70" s="9">
        <f t="shared" si="17"/>
        <v>0</v>
      </c>
      <c r="AV70" s="9">
        <f t="shared" si="17"/>
        <v>4160</v>
      </c>
      <c r="AW70" s="9">
        <f t="shared" si="17"/>
        <v>12957</v>
      </c>
      <c r="AX70" s="9">
        <f t="shared" si="17"/>
        <v>86518</v>
      </c>
      <c r="AY70" s="9">
        <f t="shared" si="17"/>
        <v>175226</v>
      </c>
      <c r="AZ70" s="9">
        <f t="shared" si="17"/>
        <v>2392</v>
      </c>
      <c r="BA70" s="9">
        <f t="shared" si="17"/>
        <v>9520</v>
      </c>
      <c r="BB70" s="9">
        <f t="shared" si="17"/>
        <v>3099576</v>
      </c>
      <c r="BC70" s="9">
        <f t="shared" si="17"/>
        <v>8658944</v>
      </c>
      <c r="BD70" s="9">
        <f t="shared" si="17"/>
        <v>56988</v>
      </c>
      <c r="BE70" s="9">
        <f t="shared" si="17"/>
        <v>147180</v>
      </c>
      <c r="BF70" s="9">
        <f t="shared" si="17"/>
        <v>387809</v>
      </c>
      <c r="BG70" s="9">
        <f t="shared" si="17"/>
        <v>1305316</v>
      </c>
      <c r="BH70" s="9">
        <f t="shared" si="17"/>
        <v>196969</v>
      </c>
      <c r="BI70" s="9">
        <f t="shared" si="17"/>
        <v>559211</v>
      </c>
      <c r="BJ70" s="9">
        <f t="shared" si="17"/>
        <v>212971</v>
      </c>
      <c r="BK70" s="9">
        <f t="shared" si="17"/>
        <v>602721</v>
      </c>
      <c r="BL70" s="9">
        <f t="shared" si="17"/>
        <v>0</v>
      </c>
      <c r="BM70" s="9">
        <f t="shared" si="17"/>
        <v>0</v>
      </c>
      <c r="BN70" s="73">
        <f t="shared" ref="BN70:BN73" si="18">SUM(B70+D70+F70+H70+J70+L70+N70+P70+R70+T70+V70+X70+Z70+AB70+AD70+AF70+AH70+AJ70+AL70+AN70+AP70+AR70+AT70+AV70+AX70+AZ70+BB70+BD70+BF70+BH70+BJ70+BL70)</f>
        <v>5265329.5940000005</v>
      </c>
      <c r="BO70" s="73">
        <f t="shared" ref="BO70:BO73" si="19">SUM(C70+E70+G70+I70+K70+M70+O70+Q70+S70+U70+W70+Y70+AA70+AC70+AE70+AG70+AI70+AK70+AM70+AO70+AQ70+AS70+AU70+AW70+AY70+BA70+BC70+BE70+BG70+BI70+BK70+BM70)</f>
        <v>14503126.846999999</v>
      </c>
    </row>
    <row r="71" spans="1:67" x14ac:dyDescent="0.25">
      <c r="A71" s="25" t="s">
        <v>276</v>
      </c>
      <c r="B71" s="9">
        <f t="shared" ref="B71:AG71" si="20">B79-B63-B55-B47-B39-B31-B23-B15-B7</f>
        <v>0</v>
      </c>
      <c r="C71" s="9">
        <f t="shared" si="20"/>
        <v>0</v>
      </c>
      <c r="D71" s="9">
        <f t="shared" si="20"/>
        <v>0</v>
      </c>
      <c r="E71" s="9">
        <f t="shared" si="20"/>
        <v>0</v>
      </c>
      <c r="F71" s="9">
        <f t="shared" si="20"/>
        <v>0</v>
      </c>
      <c r="G71" s="9">
        <f t="shared" si="20"/>
        <v>-22</v>
      </c>
      <c r="H71" s="9">
        <f t="shared" si="20"/>
        <v>0</v>
      </c>
      <c r="I71" s="9">
        <f t="shared" si="20"/>
        <v>1056</v>
      </c>
      <c r="J71" s="9">
        <f t="shared" si="20"/>
        <v>0</v>
      </c>
      <c r="K71" s="9">
        <f t="shared" si="20"/>
        <v>1</v>
      </c>
      <c r="L71" s="9">
        <f t="shared" si="20"/>
        <v>1</v>
      </c>
      <c r="M71" s="9">
        <f t="shared" si="20"/>
        <v>131</v>
      </c>
      <c r="N71" s="9">
        <f t="shared" si="20"/>
        <v>0</v>
      </c>
      <c r="O71" s="9">
        <f t="shared" si="20"/>
        <v>0</v>
      </c>
      <c r="P71" s="9">
        <f t="shared" si="20"/>
        <v>1</v>
      </c>
      <c r="Q71" s="9">
        <f t="shared" si="20"/>
        <v>70</v>
      </c>
      <c r="R71" s="9">
        <f t="shared" si="20"/>
        <v>0</v>
      </c>
      <c r="S71" s="9">
        <f t="shared" si="20"/>
        <v>16</v>
      </c>
      <c r="T71" s="9">
        <f t="shared" si="20"/>
        <v>23970</v>
      </c>
      <c r="U71" s="9">
        <f t="shared" si="20"/>
        <v>34117</v>
      </c>
      <c r="V71" s="9">
        <f t="shared" si="20"/>
        <v>4137</v>
      </c>
      <c r="W71" s="9">
        <f t="shared" si="20"/>
        <v>28816</v>
      </c>
      <c r="X71" s="9">
        <f t="shared" si="20"/>
        <v>8438</v>
      </c>
      <c r="Y71" s="9">
        <f t="shared" si="20"/>
        <v>19161</v>
      </c>
      <c r="Z71" s="9">
        <f t="shared" si="20"/>
        <v>577</v>
      </c>
      <c r="AA71" s="9">
        <f t="shared" si="20"/>
        <v>10160</v>
      </c>
      <c r="AB71" s="9">
        <f t="shared" si="20"/>
        <v>0</v>
      </c>
      <c r="AC71" s="9">
        <f t="shared" si="20"/>
        <v>11</v>
      </c>
      <c r="AD71" s="9">
        <f t="shared" si="20"/>
        <v>0</v>
      </c>
      <c r="AE71" s="9">
        <f t="shared" si="20"/>
        <v>22</v>
      </c>
      <c r="AF71" s="9">
        <f t="shared" si="20"/>
        <v>0</v>
      </c>
      <c r="AG71" s="9">
        <f t="shared" si="20"/>
        <v>89</v>
      </c>
      <c r="AH71" s="9">
        <f t="shared" ref="AH71:BM71" si="21">AH79-AH63-AH55-AH47-AH39-AH31-AH23-AH15-AH7</f>
        <v>0</v>
      </c>
      <c r="AI71" s="9">
        <f t="shared" si="21"/>
        <v>0</v>
      </c>
      <c r="AJ71" s="9">
        <f t="shared" si="21"/>
        <v>0</v>
      </c>
      <c r="AK71" s="9">
        <f t="shared" si="21"/>
        <v>0</v>
      </c>
      <c r="AL71" s="9">
        <f t="shared" si="21"/>
        <v>1263.1949999999997</v>
      </c>
      <c r="AM71" s="9">
        <f t="shared" si="21"/>
        <v>10159.452000000005</v>
      </c>
      <c r="AN71" s="9">
        <f t="shared" si="21"/>
        <v>0</v>
      </c>
      <c r="AO71" s="9">
        <f t="shared" si="21"/>
        <v>0</v>
      </c>
      <c r="AP71" s="9">
        <f t="shared" si="21"/>
        <v>4745</v>
      </c>
      <c r="AQ71" s="9">
        <f t="shared" si="21"/>
        <v>12980</v>
      </c>
      <c r="AR71" s="9">
        <f t="shared" si="21"/>
        <v>-1</v>
      </c>
      <c r="AS71" s="9">
        <f t="shared" si="21"/>
        <v>269</v>
      </c>
      <c r="AT71" s="9">
        <f t="shared" si="21"/>
        <v>0</v>
      </c>
      <c r="AU71" s="9">
        <f t="shared" si="21"/>
        <v>0</v>
      </c>
      <c r="AV71" s="9">
        <f t="shared" si="21"/>
        <v>0</v>
      </c>
      <c r="AW71" s="9">
        <f t="shared" si="21"/>
        <v>8</v>
      </c>
      <c r="AX71" s="9">
        <f t="shared" si="21"/>
        <v>0</v>
      </c>
      <c r="AY71" s="9">
        <f t="shared" si="21"/>
        <v>106</v>
      </c>
      <c r="AZ71" s="9">
        <f t="shared" si="21"/>
        <v>0</v>
      </c>
      <c r="BA71" s="9">
        <f t="shared" si="21"/>
        <v>3</v>
      </c>
      <c r="BB71" s="9">
        <f t="shared" si="21"/>
        <v>0</v>
      </c>
      <c r="BC71" s="9">
        <f t="shared" si="21"/>
        <v>0</v>
      </c>
      <c r="BD71" s="9">
        <f t="shared" si="21"/>
        <v>0</v>
      </c>
      <c r="BE71" s="9">
        <f t="shared" si="21"/>
        <v>2577</v>
      </c>
      <c r="BF71" s="9">
        <f t="shared" si="21"/>
        <v>3335</v>
      </c>
      <c r="BG71" s="9">
        <f t="shared" si="21"/>
        <v>7099</v>
      </c>
      <c r="BH71" s="9">
        <f t="shared" si="21"/>
        <v>2935</v>
      </c>
      <c r="BI71" s="9">
        <f t="shared" si="21"/>
        <v>690</v>
      </c>
      <c r="BJ71" s="9">
        <f t="shared" si="21"/>
        <v>-37</v>
      </c>
      <c r="BK71" s="9">
        <f t="shared" si="21"/>
        <v>-118</v>
      </c>
      <c r="BL71" s="9">
        <f t="shared" si="21"/>
        <v>0</v>
      </c>
      <c r="BM71" s="9">
        <f t="shared" si="21"/>
        <v>0</v>
      </c>
      <c r="BN71" s="73">
        <f t="shared" si="18"/>
        <v>49364.195</v>
      </c>
      <c r="BO71" s="73">
        <f t="shared" si="19"/>
        <v>127401.452</v>
      </c>
    </row>
    <row r="72" spans="1:67" x14ac:dyDescent="0.25">
      <c r="A72" s="25" t="s">
        <v>277</v>
      </c>
      <c r="B72" s="9">
        <f t="shared" ref="B72:AG72" si="22">B80-B64-B56-B48-B40-B32-B24-B16-B8</f>
        <v>0</v>
      </c>
      <c r="C72" s="9">
        <f t="shared" si="22"/>
        <v>0</v>
      </c>
      <c r="D72" s="9">
        <f t="shared" si="22"/>
        <v>0</v>
      </c>
      <c r="E72" s="9">
        <f t="shared" si="22"/>
        <v>0</v>
      </c>
      <c r="F72" s="9">
        <f t="shared" si="22"/>
        <v>289466</v>
      </c>
      <c r="G72" s="9">
        <f t="shared" si="22"/>
        <v>1660240</v>
      </c>
      <c r="H72" s="9">
        <f t="shared" si="22"/>
        <v>465495</v>
      </c>
      <c r="I72" s="9">
        <f t="shared" si="22"/>
        <v>1726618</v>
      </c>
      <c r="J72" s="9">
        <f t="shared" si="22"/>
        <v>88653</v>
      </c>
      <c r="K72" s="9">
        <f t="shared" si="22"/>
        <v>444047</v>
      </c>
      <c r="L72" s="9">
        <f t="shared" si="22"/>
        <v>4709</v>
      </c>
      <c r="M72" s="9">
        <f t="shared" si="22"/>
        <v>7778</v>
      </c>
      <c r="N72" s="9">
        <f t="shared" si="22"/>
        <v>73252.66</v>
      </c>
      <c r="O72" s="9">
        <f t="shared" si="22"/>
        <v>212081.21</v>
      </c>
      <c r="P72" s="9">
        <f t="shared" si="22"/>
        <v>7</v>
      </c>
      <c r="Q72" s="9">
        <f t="shared" si="22"/>
        <v>340</v>
      </c>
      <c r="R72" s="9">
        <f t="shared" si="22"/>
        <v>202245</v>
      </c>
      <c r="S72" s="9">
        <f t="shared" si="22"/>
        <v>398683</v>
      </c>
      <c r="T72" s="9">
        <f t="shared" si="22"/>
        <v>31719</v>
      </c>
      <c r="U72" s="9">
        <f t="shared" si="22"/>
        <v>53655</v>
      </c>
      <c r="V72" s="9">
        <f t="shared" si="22"/>
        <v>-529159</v>
      </c>
      <c r="W72" s="9">
        <f t="shared" si="22"/>
        <v>-1654087</v>
      </c>
      <c r="X72" s="9">
        <f t="shared" si="22"/>
        <v>103511</v>
      </c>
      <c r="Y72" s="9">
        <f t="shared" si="22"/>
        <v>260780</v>
      </c>
      <c r="Z72" s="9">
        <f t="shared" si="22"/>
        <v>239728</v>
      </c>
      <c r="AA72" s="9">
        <f t="shared" si="22"/>
        <v>654950</v>
      </c>
      <c r="AB72" s="9">
        <f t="shared" si="22"/>
        <v>2877</v>
      </c>
      <c r="AC72" s="9">
        <f t="shared" si="22"/>
        <v>4962</v>
      </c>
      <c r="AD72" s="9">
        <f t="shared" si="22"/>
        <v>11631</v>
      </c>
      <c r="AE72" s="9">
        <f t="shared" si="22"/>
        <v>40828</v>
      </c>
      <c r="AF72" s="9">
        <f t="shared" si="22"/>
        <v>-7913</v>
      </c>
      <c r="AG72" s="9">
        <f t="shared" si="22"/>
        <v>-21894</v>
      </c>
      <c r="AH72" s="9">
        <f t="shared" ref="AH72:BM72" si="23">AH80-AH64-AH56-AH48-AH40-AH32-AH24-AH16-AH8</f>
        <v>0</v>
      </c>
      <c r="AI72" s="9">
        <f t="shared" si="23"/>
        <v>0</v>
      </c>
      <c r="AJ72" s="9">
        <f t="shared" si="23"/>
        <v>0</v>
      </c>
      <c r="AK72" s="9">
        <f t="shared" si="23"/>
        <v>0</v>
      </c>
      <c r="AL72" s="9">
        <f t="shared" si="23"/>
        <v>46464.912295075061</v>
      </c>
      <c r="AM72" s="9">
        <f t="shared" si="23"/>
        <v>102670.42141493983</v>
      </c>
      <c r="AN72" s="9">
        <f t="shared" si="23"/>
        <v>-220</v>
      </c>
      <c r="AO72" s="9">
        <f t="shared" si="23"/>
        <v>-363</v>
      </c>
      <c r="AP72" s="9">
        <f t="shared" si="23"/>
        <v>701</v>
      </c>
      <c r="AQ72" s="9">
        <f t="shared" si="23"/>
        <v>11629</v>
      </c>
      <c r="AR72" s="9">
        <f t="shared" si="23"/>
        <v>494134</v>
      </c>
      <c r="AS72" s="9">
        <f t="shared" si="23"/>
        <v>1033326</v>
      </c>
      <c r="AT72" s="9">
        <f t="shared" si="23"/>
        <v>0</v>
      </c>
      <c r="AU72" s="9">
        <f t="shared" si="23"/>
        <v>0</v>
      </c>
      <c r="AV72" s="9">
        <f t="shared" si="23"/>
        <v>-4479</v>
      </c>
      <c r="AW72" s="9">
        <f t="shared" si="23"/>
        <v>-12268</v>
      </c>
      <c r="AX72" s="9">
        <f t="shared" si="23"/>
        <v>255383</v>
      </c>
      <c r="AY72" s="9">
        <f t="shared" si="23"/>
        <v>1139778</v>
      </c>
      <c r="AZ72" s="9">
        <f t="shared" si="23"/>
        <v>2633</v>
      </c>
      <c r="BA72" s="9">
        <f t="shared" si="23"/>
        <v>4711</v>
      </c>
      <c r="BB72" s="9">
        <f t="shared" si="23"/>
        <v>1389403</v>
      </c>
      <c r="BC72" s="9">
        <f t="shared" si="23"/>
        <v>3927349</v>
      </c>
      <c r="BD72" s="9">
        <f t="shared" si="23"/>
        <v>23049</v>
      </c>
      <c r="BE72" s="9">
        <f t="shared" si="23"/>
        <v>74764</v>
      </c>
      <c r="BF72" s="9">
        <f t="shared" si="23"/>
        <v>69087</v>
      </c>
      <c r="BG72" s="9">
        <f t="shared" si="23"/>
        <v>203341</v>
      </c>
      <c r="BH72" s="9">
        <f t="shared" si="23"/>
        <v>183698</v>
      </c>
      <c r="BI72" s="9">
        <f t="shared" si="23"/>
        <v>303317</v>
      </c>
      <c r="BJ72" s="9">
        <f t="shared" si="23"/>
        <v>62570</v>
      </c>
      <c r="BK72" s="9">
        <f t="shared" si="23"/>
        <v>183508</v>
      </c>
      <c r="BL72" s="9">
        <f t="shared" si="23"/>
        <v>0</v>
      </c>
      <c r="BM72" s="9">
        <f t="shared" si="23"/>
        <v>0</v>
      </c>
      <c r="BN72" s="73">
        <f t="shared" si="18"/>
        <v>3498645.5722950753</v>
      </c>
      <c r="BO72" s="73">
        <f t="shared" si="19"/>
        <v>10760743.631414939</v>
      </c>
    </row>
    <row r="73" spans="1:67" x14ac:dyDescent="0.25">
      <c r="A73" s="25" t="s">
        <v>226</v>
      </c>
      <c r="B73" s="9">
        <f>B81-B65-B57-B49-B41-B33-B25-B17-B9</f>
        <v>0</v>
      </c>
      <c r="C73" s="9">
        <f t="shared" ref="C73:AG73" si="24">C81-C65-C57-C49-C41-C33-C25-C17-C9</f>
        <v>0</v>
      </c>
      <c r="D73" s="9">
        <f t="shared" si="24"/>
        <v>0</v>
      </c>
      <c r="E73" s="9">
        <f t="shared" si="24"/>
        <v>0</v>
      </c>
      <c r="F73" s="9">
        <f t="shared" si="24"/>
        <v>-108014</v>
      </c>
      <c r="G73" s="9">
        <f t="shared" si="24"/>
        <v>-1368068</v>
      </c>
      <c r="H73" s="9">
        <f t="shared" si="24"/>
        <v>-244375</v>
      </c>
      <c r="I73" s="9">
        <f t="shared" si="24"/>
        <v>-1146026</v>
      </c>
      <c r="J73" s="9">
        <f t="shared" si="24"/>
        <v>-76532</v>
      </c>
      <c r="K73" s="9">
        <f t="shared" si="24"/>
        <v>-408737</v>
      </c>
      <c r="L73" s="9">
        <f t="shared" si="24"/>
        <v>7159</v>
      </c>
      <c r="M73" s="9">
        <f t="shared" si="24"/>
        <v>24729</v>
      </c>
      <c r="N73" s="9">
        <f t="shared" si="24"/>
        <v>-54131.59</v>
      </c>
      <c r="O73" s="9">
        <f t="shared" si="24"/>
        <v>-169770.2</v>
      </c>
      <c r="P73" s="9">
        <f t="shared" si="24"/>
        <v>136</v>
      </c>
      <c r="Q73" s="9">
        <f t="shared" si="24"/>
        <v>139</v>
      </c>
      <c r="R73" s="9">
        <f t="shared" si="24"/>
        <v>-143641</v>
      </c>
      <c r="S73" s="9">
        <f t="shared" si="24"/>
        <v>-252909</v>
      </c>
      <c r="T73" s="9">
        <f t="shared" si="24"/>
        <v>3976</v>
      </c>
      <c r="U73" s="9">
        <f t="shared" si="24"/>
        <v>19672</v>
      </c>
      <c r="V73" s="9">
        <f t="shared" si="24"/>
        <v>-345650</v>
      </c>
      <c r="W73" s="9">
        <f t="shared" si="24"/>
        <v>-1158703</v>
      </c>
      <c r="X73" s="9">
        <f t="shared" si="24"/>
        <v>111736</v>
      </c>
      <c r="Y73" s="9">
        <f t="shared" si="24"/>
        <v>288148</v>
      </c>
      <c r="Z73" s="9">
        <f t="shared" si="24"/>
        <v>-118001</v>
      </c>
      <c r="AA73" s="9">
        <f t="shared" si="24"/>
        <v>-301296</v>
      </c>
      <c r="AB73" s="9">
        <f t="shared" si="24"/>
        <v>2396</v>
      </c>
      <c r="AC73" s="9">
        <f t="shared" si="24"/>
        <v>6868</v>
      </c>
      <c r="AD73" s="9">
        <f t="shared" si="24"/>
        <v>12280</v>
      </c>
      <c r="AE73" s="9">
        <f t="shared" si="24"/>
        <v>30103</v>
      </c>
      <c r="AF73" s="9">
        <f t="shared" si="24"/>
        <v>-6022</v>
      </c>
      <c r="AG73" s="9">
        <f t="shared" si="24"/>
        <v>-14966</v>
      </c>
      <c r="AH73" s="9">
        <f t="shared" ref="AH73:BM73" si="25">AH81-AH65-AH57-AH49-AH41-AH33-AH25-AH17-AH9</f>
        <v>0</v>
      </c>
      <c r="AI73" s="9">
        <f t="shared" si="25"/>
        <v>0</v>
      </c>
      <c r="AJ73" s="9">
        <f t="shared" si="25"/>
        <v>0</v>
      </c>
      <c r="AK73" s="9">
        <f t="shared" si="25"/>
        <v>0</v>
      </c>
      <c r="AL73" s="9">
        <f t="shared" si="25"/>
        <v>81297.806704924151</v>
      </c>
      <c r="AM73" s="9">
        <f t="shared" si="25"/>
        <v>229362.8675850624</v>
      </c>
      <c r="AN73" s="9">
        <f t="shared" si="25"/>
        <v>460</v>
      </c>
      <c r="AO73" s="9">
        <f t="shared" si="25"/>
        <v>431</v>
      </c>
      <c r="AP73" s="9">
        <f t="shared" si="25"/>
        <v>24122</v>
      </c>
      <c r="AQ73" s="9">
        <f t="shared" si="25"/>
        <v>66336</v>
      </c>
      <c r="AR73" s="9">
        <f t="shared" si="25"/>
        <v>-477997</v>
      </c>
      <c r="AS73" s="9">
        <f t="shared" si="25"/>
        <v>-985053</v>
      </c>
      <c r="AT73" s="9">
        <f t="shared" si="25"/>
        <v>0</v>
      </c>
      <c r="AU73" s="9">
        <f t="shared" si="25"/>
        <v>0</v>
      </c>
      <c r="AV73" s="9">
        <f t="shared" si="25"/>
        <v>-319</v>
      </c>
      <c r="AW73" s="9">
        <f t="shared" si="25"/>
        <v>697</v>
      </c>
      <c r="AX73" s="9">
        <f t="shared" si="25"/>
        <v>-168865</v>
      </c>
      <c r="AY73" s="9">
        <f t="shared" si="25"/>
        <v>-964446</v>
      </c>
      <c r="AZ73" s="9">
        <f t="shared" si="25"/>
        <v>-240</v>
      </c>
      <c r="BA73" s="9">
        <f t="shared" si="25"/>
        <v>4812</v>
      </c>
      <c r="BB73" s="9">
        <f t="shared" si="25"/>
        <v>1710173</v>
      </c>
      <c r="BC73" s="9">
        <f t="shared" si="25"/>
        <v>4731595</v>
      </c>
      <c r="BD73" s="9">
        <f t="shared" si="25"/>
        <v>33939</v>
      </c>
      <c r="BE73" s="9">
        <f t="shared" si="25"/>
        <v>74993</v>
      </c>
      <c r="BF73" s="9">
        <f t="shared" si="25"/>
        <v>322058</v>
      </c>
      <c r="BG73" s="9">
        <f t="shared" si="25"/>
        <v>1109073</v>
      </c>
      <c r="BH73" s="9">
        <f t="shared" si="25"/>
        <v>16206</v>
      </c>
      <c r="BI73" s="9">
        <f t="shared" si="25"/>
        <v>256584</v>
      </c>
      <c r="BJ73" s="9">
        <f t="shared" si="25"/>
        <v>150364</v>
      </c>
      <c r="BK73" s="9">
        <f t="shared" si="25"/>
        <v>419095</v>
      </c>
      <c r="BL73" s="9">
        <f t="shared" si="25"/>
        <v>0</v>
      </c>
      <c r="BM73" s="9">
        <f t="shared" si="25"/>
        <v>0</v>
      </c>
      <c r="BN73" s="73">
        <f t="shared" si="18"/>
        <v>732515.21670492413</v>
      </c>
      <c r="BO73" s="73">
        <f t="shared" si="19"/>
        <v>492663.66758506186</v>
      </c>
    </row>
    <row r="74" spans="1:67" x14ac:dyDescent="0.25">
      <c r="A74" s="23"/>
    </row>
    <row r="75" spans="1:67" x14ac:dyDescent="0.25">
      <c r="A75" s="24" t="s">
        <v>42</v>
      </c>
    </row>
    <row r="76" spans="1:67" x14ac:dyDescent="0.25">
      <c r="A76" s="3" t="s">
        <v>0</v>
      </c>
      <c r="B76" s="103" t="s">
        <v>1</v>
      </c>
      <c r="C76" s="104"/>
      <c r="D76" s="103" t="s">
        <v>282</v>
      </c>
      <c r="E76" s="104"/>
      <c r="F76" s="103" t="s">
        <v>2</v>
      </c>
      <c r="G76" s="104"/>
      <c r="H76" s="103" t="s">
        <v>3</v>
      </c>
      <c r="I76" s="104"/>
      <c r="J76" s="103" t="s">
        <v>4</v>
      </c>
      <c r="K76" s="104"/>
      <c r="L76" s="103" t="s">
        <v>283</v>
      </c>
      <c r="M76" s="104"/>
      <c r="N76" s="103" t="s">
        <v>6</v>
      </c>
      <c r="O76" s="104"/>
      <c r="P76" s="103" t="s">
        <v>5</v>
      </c>
      <c r="Q76" s="104"/>
      <c r="R76" s="103" t="s">
        <v>7</v>
      </c>
      <c r="S76" s="104"/>
      <c r="T76" s="103" t="s">
        <v>284</v>
      </c>
      <c r="U76" s="104"/>
      <c r="V76" s="103" t="s">
        <v>8</v>
      </c>
      <c r="W76" s="104"/>
      <c r="X76" s="103" t="s">
        <v>9</v>
      </c>
      <c r="Y76" s="104"/>
      <c r="Z76" s="103" t="s">
        <v>10</v>
      </c>
      <c r="AA76" s="104"/>
      <c r="AB76" s="103" t="s">
        <v>304</v>
      </c>
      <c r="AC76" s="104"/>
      <c r="AD76" s="103" t="s">
        <v>11</v>
      </c>
      <c r="AE76" s="104"/>
      <c r="AF76" s="103" t="s">
        <v>12</v>
      </c>
      <c r="AG76" s="104"/>
      <c r="AH76" s="103" t="s">
        <v>285</v>
      </c>
      <c r="AI76" s="104"/>
      <c r="AJ76" s="103" t="s">
        <v>290</v>
      </c>
      <c r="AK76" s="104"/>
      <c r="AL76" s="103" t="s">
        <v>13</v>
      </c>
      <c r="AM76" s="104"/>
      <c r="AN76" s="103" t="s">
        <v>286</v>
      </c>
      <c r="AO76" s="104"/>
      <c r="AP76" s="103" t="s">
        <v>287</v>
      </c>
      <c r="AQ76" s="104"/>
      <c r="AR76" s="103" t="s">
        <v>291</v>
      </c>
      <c r="AS76" s="104"/>
      <c r="AT76" s="103" t="s">
        <v>305</v>
      </c>
      <c r="AU76" s="104"/>
      <c r="AV76" s="103" t="s">
        <v>14</v>
      </c>
      <c r="AW76" s="104"/>
      <c r="AX76" s="103" t="s">
        <v>15</v>
      </c>
      <c r="AY76" s="104"/>
      <c r="AZ76" s="103" t="s">
        <v>16</v>
      </c>
      <c r="BA76" s="104"/>
      <c r="BB76" s="103" t="s">
        <v>17</v>
      </c>
      <c r="BC76" s="104"/>
      <c r="BD76" s="103" t="s">
        <v>18</v>
      </c>
      <c r="BE76" s="104"/>
      <c r="BF76" s="103" t="s">
        <v>288</v>
      </c>
      <c r="BG76" s="104"/>
      <c r="BH76" s="103" t="s">
        <v>289</v>
      </c>
      <c r="BI76" s="104"/>
      <c r="BJ76" s="103" t="s">
        <v>19</v>
      </c>
      <c r="BK76" s="104"/>
      <c r="BL76" s="103" t="s">
        <v>20</v>
      </c>
      <c r="BM76" s="104"/>
      <c r="BN76" s="105" t="s">
        <v>21</v>
      </c>
      <c r="BO76" s="106"/>
    </row>
    <row r="77" spans="1:67" ht="30" x14ac:dyDescent="0.25">
      <c r="A77" s="3"/>
      <c r="B77" s="57" t="s">
        <v>293</v>
      </c>
      <c r="C77" s="58" t="s">
        <v>294</v>
      </c>
      <c r="D77" s="57" t="s">
        <v>293</v>
      </c>
      <c r="E77" s="58" t="s">
        <v>294</v>
      </c>
      <c r="F77" s="57" t="s">
        <v>293</v>
      </c>
      <c r="G77" s="58" t="s">
        <v>294</v>
      </c>
      <c r="H77" s="57" t="s">
        <v>293</v>
      </c>
      <c r="I77" s="58" t="s">
        <v>294</v>
      </c>
      <c r="J77" s="57" t="s">
        <v>293</v>
      </c>
      <c r="K77" s="58" t="s">
        <v>294</v>
      </c>
      <c r="L77" s="57" t="s">
        <v>293</v>
      </c>
      <c r="M77" s="58" t="s">
        <v>294</v>
      </c>
      <c r="N77" s="57" t="s">
        <v>293</v>
      </c>
      <c r="O77" s="58" t="s">
        <v>294</v>
      </c>
      <c r="P77" s="57" t="s">
        <v>293</v>
      </c>
      <c r="Q77" s="58" t="s">
        <v>294</v>
      </c>
      <c r="R77" s="57" t="s">
        <v>293</v>
      </c>
      <c r="S77" s="58" t="s">
        <v>294</v>
      </c>
      <c r="T77" s="57" t="s">
        <v>293</v>
      </c>
      <c r="U77" s="58" t="s">
        <v>294</v>
      </c>
      <c r="V77" s="57" t="s">
        <v>293</v>
      </c>
      <c r="W77" s="58" t="s">
        <v>294</v>
      </c>
      <c r="X77" s="57" t="s">
        <v>293</v>
      </c>
      <c r="Y77" s="58" t="s">
        <v>294</v>
      </c>
      <c r="Z77" s="57" t="s">
        <v>293</v>
      </c>
      <c r="AA77" s="58" t="s">
        <v>294</v>
      </c>
      <c r="AB77" s="57" t="s">
        <v>293</v>
      </c>
      <c r="AC77" s="58" t="s">
        <v>294</v>
      </c>
      <c r="AD77" s="57" t="s">
        <v>293</v>
      </c>
      <c r="AE77" s="58" t="s">
        <v>294</v>
      </c>
      <c r="AF77" s="57" t="s">
        <v>293</v>
      </c>
      <c r="AG77" s="58" t="s">
        <v>294</v>
      </c>
      <c r="AH77" s="57" t="s">
        <v>293</v>
      </c>
      <c r="AI77" s="58" t="s">
        <v>294</v>
      </c>
      <c r="AJ77" s="57" t="s">
        <v>293</v>
      </c>
      <c r="AK77" s="58" t="s">
        <v>294</v>
      </c>
      <c r="AL77" s="57" t="s">
        <v>293</v>
      </c>
      <c r="AM77" s="58" t="s">
        <v>294</v>
      </c>
      <c r="AN77" s="57" t="s">
        <v>293</v>
      </c>
      <c r="AO77" s="58" t="s">
        <v>294</v>
      </c>
      <c r="AP77" s="57" t="s">
        <v>293</v>
      </c>
      <c r="AQ77" s="58" t="s">
        <v>294</v>
      </c>
      <c r="AR77" s="57" t="s">
        <v>293</v>
      </c>
      <c r="AS77" s="58" t="s">
        <v>294</v>
      </c>
      <c r="AT77" s="57" t="s">
        <v>293</v>
      </c>
      <c r="AU77" s="58" t="s">
        <v>294</v>
      </c>
      <c r="AV77" s="57" t="s">
        <v>293</v>
      </c>
      <c r="AW77" s="58" t="s">
        <v>294</v>
      </c>
      <c r="AX77" s="57" t="s">
        <v>293</v>
      </c>
      <c r="AY77" s="58" t="s">
        <v>294</v>
      </c>
      <c r="AZ77" s="57" t="s">
        <v>293</v>
      </c>
      <c r="BA77" s="58" t="s">
        <v>294</v>
      </c>
      <c r="BB77" s="57" t="s">
        <v>293</v>
      </c>
      <c r="BC77" s="58" t="s">
        <v>294</v>
      </c>
      <c r="BD77" s="57" t="s">
        <v>293</v>
      </c>
      <c r="BE77" s="58" t="s">
        <v>294</v>
      </c>
      <c r="BF77" s="57" t="s">
        <v>293</v>
      </c>
      <c r="BG77" s="58" t="s">
        <v>294</v>
      </c>
      <c r="BH77" s="57" t="s">
        <v>293</v>
      </c>
      <c r="BI77" s="58" t="s">
        <v>294</v>
      </c>
      <c r="BJ77" s="57" t="s">
        <v>293</v>
      </c>
      <c r="BK77" s="58" t="s">
        <v>294</v>
      </c>
      <c r="BL77" s="57" t="s">
        <v>293</v>
      </c>
      <c r="BM77" s="58" t="s">
        <v>294</v>
      </c>
      <c r="BN77" s="57" t="s">
        <v>293</v>
      </c>
      <c r="BO77" s="58" t="s">
        <v>294</v>
      </c>
    </row>
    <row r="78" spans="1:67" x14ac:dyDescent="0.25">
      <c r="A78" s="25" t="s">
        <v>225</v>
      </c>
      <c r="B78" s="84">
        <v>20442</v>
      </c>
      <c r="C78" s="84">
        <v>48982</v>
      </c>
      <c r="D78" s="84">
        <v>374168</v>
      </c>
      <c r="E78" s="84">
        <v>1074682</v>
      </c>
      <c r="F78" s="84">
        <v>181452</v>
      </c>
      <c r="G78" s="84">
        <v>292194</v>
      </c>
      <c r="H78" s="84">
        <v>2171632</v>
      </c>
      <c r="I78" s="84">
        <v>5694219</v>
      </c>
      <c r="J78" s="84">
        <v>730026</v>
      </c>
      <c r="K78" s="84">
        <v>1723617</v>
      </c>
      <c r="L78" s="84">
        <v>942573</v>
      </c>
      <c r="M78" s="84">
        <v>2412293</v>
      </c>
      <c r="N78" s="84">
        <v>19121.07</v>
      </c>
      <c r="O78" s="84">
        <v>42311.01</v>
      </c>
      <c r="P78" s="84">
        <v>52707</v>
      </c>
      <c r="Q78" s="84">
        <v>136962</v>
      </c>
      <c r="R78" s="84">
        <v>567571</v>
      </c>
      <c r="S78" s="84">
        <v>1534630</v>
      </c>
      <c r="T78" s="84">
        <v>292581</v>
      </c>
      <c r="U78" s="84">
        <v>804991</v>
      </c>
      <c r="V78" s="84">
        <v>2714117</v>
      </c>
      <c r="W78" s="84">
        <v>7302215</v>
      </c>
      <c r="X78" s="84">
        <v>3829040</v>
      </c>
      <c r="Y78" s="84">
        <v>9682448</v>
      </c>
      <c r="Z78" s="84">
        <v>1578795</v>
      </c>
      <c r="AA78" s="84">
        <v>4578333</v>
      </c>
      <c r="AB78" s="84">
        <v>118042</v>
      </c>
      <c r="AC78" s="84">
        <v>319420</v>
      </c>
      <c r="AD78" s="84">
        <v>452380</v>
      </c>
      <c r="AE78" s="84">
        <v>1127982</v>
      </c>
      <c r="AF78" s="84">
        <v>216858</v>
      </c>
      <c r="AG78" s="84">
        <v>542898</v>
      </c>
      <c r="AH78" s="74">
        <v>219033</v>
      </c>
      <c r="AI78" s="25">
        <v>619817</v>
      </c>
      <c r="AJ78" s="84">
        <v>529836</v>
      </c>
      <c r="AK78" s="84">
        <v>1398813</v>
      </c>
      <c r="AL78" s="9">
        <v>2734028.5775099997</v>
      </c>
      <c r="AM78" s="9">
        <v>7192332.5720200008</v>
      </c>
      <c r="AN78" s="84">
        <v>33661</v>
      </c>
      <c r="AO78" s="84">
        <v>65389</v>
      </c>
      <c r="AP78" s="84">
        <v>117553</v>
      </c>
      <c r="AQ78" s="84">
        <v>231805</v>
      </c>
      <c r="AR78" s="9">
        <v>1130336</v>
      </c>
      <c r="AS78" s="9">
        <v>3129489</v>
      </c>
      <c r="AT78" s="84">
        <v>893757</v>
      </c>
      <c r="AU78" s="84">
        <v>2438897</v>
      </c>
      <c r="AV78" s="84">
        <v>756263</v>
      </c>
      <c r="AW78" s="84">
        <v>2108485</v>
      </c>
      <c r="AX78" s="84">
        <v>1562599</v>
      </c>
      <c r="AY78" s="84">
        <v>3763523</v>
      </c>
      <c r="AZ78" s="84">
        <v>313574</v>
      </c>
      <c r="BA78" s="84">
        <v>895541</v>
      </c>
      <c r="BB78" s="84">
        <v>3099576</v>
      </c>
      <c r="BC78" s="84">
        <v>8658944</v>
      </c>
      <c r="BD78" s="84">
        <v>2093526</v>
      </c>
      <c r="BE78" s="84">
        <v>5738504</v>
      </c>
      <c r="BF78" s="84">
        <v>6775824</v>
      </c>
      <c r="BG78" s="84">
        <v>19806971</v>
      </c>
      <c r="BH78" s="84">
        <v>2552379</v>
      </c>
      <c r="BI78" s="84">
        <v>6974241</v>
      </c>
      <c r="BJ78" s="84">
        <v>2610586</v>
      </c>
      <c r="BK78" s="84">
        <v>7529347</v>
      </c>
      <c r="BL78" s="9"/>
      <c r="BM78" s="9"/>
      <c r="BN78" s="73">
        <f>SUM(B78+D78+F78+H78+J78+L78+N78+P78+R78+T78+V78+X78+Z78+AB78+AD78+AF78+AH78+AJ78+AL78+AN78+AP78+AR78+AT78+AV78+AX78+AZ78+BB78+BD78+BF78+BH78+BJ78+BL78)</f>
        <v>39684036.64751</v>
      </c>
      <c r="BO78" s="73">
        <f>SUM(C78+E78+G78+I78+K78+M78+O78+Q78+S78+U78+W78+Y78+AA78+AC78+AE78+AG78+AI78+AK78+AM78+AO78+AQ78+AS78+AU78+AW78+AY78+BA78+BC78+BE78+BG78+BI78+BK78+BM78)</f>
        <v>107870275.58202</v>
      </c>
    </row>
    <row r="79" spans="1:67" x14ac:dyDescent="0.25">
      <c r="A79" s="25" t="s">
        <v>276</v>
      </c>
      <c r="B79" s="84"/>
      <c r="C79" s="84"/>
      <c r="D79" s="84"/>
      <c r="E79" s="84"/>
      <c r="F79" s="84">
        <v>0</v>
      </c>
      <c r="G79" s="84">
        <v>-22</v>
      </c>
      <c r="H79" s="84">
        <v>9341</v>
      </c>
      <c r="I79" s="84">
        <v>45338</v>
      </c>
      <c r="J79" s="84">
        <v>367</v>
      </c>
      <c r="K79" s="84">
        <v>14285</v>
      </c>
      <c r="L79" s="84">
        <v>640</v>
      </c>
      <c r="M79" s="84">
        <v>2447</v>
      </c>
      <c r="N79" s="84"/>
      <c r="O79" s="84"/>
      <c r="P79" s="84">
        <v>1549</v>
      </c>
      <c r="Q79" s="84">
        <v>7119</v>
      </c>
      <c r="R79" s="84">
        <v>12835</v>
      </c>
      <c r="S79" s="84">
        <v>49919</v>
      </c>
      <c r="T79" s="84">
        <v>150918</v>
      </c>
      <c r="U79" s="84">
        <v>515183</v>
      </c>
      <c r="V79" s="84">
        <v>26035</v>
      </c>
      <c r="W79" s="84">
        <v>104656</v>
      </c>
      <c r="X79" s="84">
        <v>120789</v>
      </c>
      <c r="Y79" s="84">
        <v>330709</v>
      </c>
      <c r="Z79" s="84">
        <v>8722</v>
      </c>
      <c r="AA79" s="84">
        <v>58314</v>
      </c>
      <c r="AB79" s="84">
        <v>164</v>
      </c>
      <c r="AC79" s="84">
        <v>980</v>
      </c>
      <c r="AD79" s="84">
        <v>2691</v>
      </c>
      <c r="AE79" s="84">
        <v>4624</v>
      </c>
      <c r="AF79" s="84">
        <v>6483</v>
      </c>
      <c r="AG79" s="84">
        <v>36880</v>
      </c>
      <c r="AH79" s="74"/>
      <c r="AI79" s="25"/>
      <c r="AJ79" s="84"/>
      <c r="AK79" s="84"/>
      <c r="AL79" s="9">
        <v>35792.214999999997</v>
      </c>
      <c r="AM79" s="9">
        <v>157130.88</v>
      </c>
      <c r="AN79" s="84">
        <v>150</v>
      </c>
      <c r="AO79" s="84">
        <v>539</v>
      </c>
      <c r="AP79" s="84">
        <v>7861</v>
      </c>
      <c r="AQ79" s="84">
        <v>19133</v>
      </c>
      <c r="AR79" s="9">
        <v>6910</v>
      </c>
      <c r="AS79" s="9">
        <v>34893</v>
      </c>
      <c r="AT79" s="84">
        <v>413</v>
      </c>
      <c r="AU79" s="84">
        <v>2174</v>
      </c>
      <c r="AV79" s="84">
        <v>15879</v>
      </c>
      <c r="AW79" s="84">
        <v>52306</v>
      </c>
      <c r="AX79" s="84">
        <v>4526</v>
      </c>
      <c r="AY79" s="84">
        <v>20338</v>
      </c>
      <c r="AZ79" s="84">
        <v>1540</v>
      </c>
      <c r="BA79" s="84">
        <v>6719</v>
      </c>
      <c r="BB79" s="84"/>
      <c r="BC79" s="84"/>
      <c r="BD79" s="84">
        <v>58246</v>
      </c>
      <c r="BE79" s="84">
        <v>156858</v>
      </c>
      <c r="BF79" s="84">
        <v>439064</v>
      </c>
      <c r="BG79" s="84">
        <v>1635287</v>
      </c>
      <c r="BH79" s="84">
        <v>484291</v>
      </c>
      <c r="BI79" s="84">
        <v>658254</v>
      </c>
      <c r="BJ79" s="84">
        <v>66240</v>
      </c>
      <c r="BK79" s="84">
        <v>152905</v>
      </c>
      <c r="BL79" s="9"/>
      <c r="BM79" s="9"/>
      <c r="BN79" s="73">
        <f t="shared" ref="BN79:BN81" si="26">SUM(B79+D79+F79+H79+J79+L79+N79+P79+R79+T79+V79+X79+Z79+AB79+AD79+AF79+AH79+AJ79+AL79+AN79+AP79+AR79+AT79+AV79+AX79+AZ79+BB79+BD79+BF79+BH79+BJ79+BL79)</f>
        <v>1461446.2149999999</v>
      </c>
      <c r="BO79" s="73">
        <f t="shared" ref="BO79:BO81" si="27">SUM(C79+E79+G79+I79+K79+M79+O79+Q79+S79+U79+W79+Y79+AA79+AC79+AE79+AG79+AI79+AK79+AM79+AO79+AQ79+AS79+AU79+AW79+AY79+BA79+BC79+BE79+BG79+BI79+BK79+BM79)</f>
        <v>4066968.88</v>
      </c>
    </row>
    <row r="80" spans="1:67" x14ac:dyDescent="0.25">
      <c r="A80" s="25" t="s">
        <v>277</v>
      </c>
      <c r="B80" s="84">
        <v>34280</v>
      </c>
      <c r="C80" s="84">
        <v>124313</v>
      </c>
      <c r="D80" s="84">
        <v>190267</v>
      </c>
      <c r="E80" s="84">
        <v>617490</v>
      </c>
      <c r="F80" s="84">
        <v>289466</v>
      </c>
      <c r="G80" s="84">
        <v>1660240</v>
      </c>
      <c r="H80" s="84">
        <v>1881511</v>
      </c>
      <c r="I80" s="84">
        <v>5952631</v>
      </c>
      <c r="J80" s="84">
        <v>378442</v>
      </c>
      <c r="K80" s="84">
        <v>1051758</v>
      </c>
      <c r="L80" s="84">
        <v>825382</v>
      </c>
      <c r="M80" s="84">
        <v>2147772</v>
      </c>
      <c r="N80" s="84">
        <v>73252.66</v>
      </c>
      <c r="O80" s="84">
        <v>212081.21</v>
      </c>
      <c r="P80" s="84">
        <v>15834</v>
      </c>
      <c r="Q80" s="84">
        <v>39007</v>
      </c>
      <c r="R80" s="84">
        <v>478929</v>
      </c>
      <c r="S80" s="84">
        <v>1037797</v>
      </c>
      <c r="T80" s="84">
        <v>227628</v>
      </c>
      <c r="U80" s="84">
        <v>792265</v>
      </c>
      <c r="V80" s="84">
        <v>-3155814</v>
      </c>
      <c r="W80" s="84">
        <v>-8765080</v>
      </c>
      <c r="X80" s="84">
        <v>1705994</v>
      </c>
      <c r="Y80" s="84">
        <v>5101687</v>
      </c>
      <c r="Z80" s="84">
        <v>1268181</v>
      </c>
      <c r="AA80" s="84">
        <v>3084990</v>
      </c>
      <c r="AB80" s="84">
        <v>42454</v>
      </c>
      <c r="AC80" s="84">
        <v>105268</v>
      </c>
      <c r="AD80" s="84">
        <v>68281</v>
      </c>
      <c r="AE80" s="84">
        <v>218705</v>
      </c>
      <c r="AF80" s="84">
        <v>-346493</v>
      </c>
      <c r="AG80" s="84">
        <v>-962148</v>
      </c>
      <c r="AH80" s="74">
        <v>12355</v>
      </c>
      <c r="AI80" s="25">
        <v>48428</v>
      </c>
      <c r="AJ80" s="84">
        <v>353183</v>
      </c>
      <c r="AK80" s="84">
        <v>1053384</v>
      </c>
      <c r="AL80" s="9">
        <v>381482.77799999999</v>
      </c>
      <c r="AM80" s="9">
        <v>1061534.1319999998</v>
      </c>
      <c r="AN80" s="84">
        <v>-18619</v>
      </c>
      <c r="AO80" s="84">
        <v>-30284</v>
      </c>
      <c r="AP80" s="84">
        <v>13096</v>
      </c>
      <c r="AQ80" s="84">
        <v>36331</v>
      </c>
      <c r="AR80" s="9">
        <v>1894335</v>
      </c>
      <c r="AS80" s="9">
        <v>4309313</v>
      </c>
      <c r="AT80" s="84">
        <v>715646</v>
      </c>
      <c r="AU80" s="84">
        <v>2318604</v>
      </c>
      <c r="AV80" s="84">
        <v>-368374</v>
      </c>
      <c r="AW80" s="84">
        <v>-1169873</v>
      </c>
      <c r="AX80" s="84">
        <v>1827644</v>
      </c>
      <c r="AY80" s="84">
        <v>5307719</v>
      </c>
      <c r="AZ80" s="84">
        <v>36768</v>
      </c>
      <c r="BA80" s="84">
        <v>94425</v>
      </c>
      <c r="BB80" s="84">
        <v>1389403</v>
      </c>
      <c r="BC80" s="84">
        <v>3927349</v>
      </c>
      <c r="BD80" s="84">
        <v>1144075</v>
      </c>
      <c r="BE80" s="84">
        <v>4104713</v>
      </c>
      <c r="BF80" s="84">
        <v>927524</v>
      </c>
      <c r="BG80" s="84">
        <v>3003554</v>
      </c>
      <c r="BH80" s="84">
        <v>589203</v>
      </c>
      <c r="BI80" s="84">
        <v>1559690</v>
      </c>
      <c r="BJ80" s="84">
        <v>377121</v>
      </c>
      <c r="BK80" s="84">
        <v>1363232</v>
      </c>
      <c r="BL80" s="9"/>
      <c r="BM80" s="9"/>
      <c r="BN80" s="73">
        <f t="shared" si="26"/>
        <v>13252437.438000001</v>
      </c>
      <c r="BO80" s="73">
        <f t="shared" si="27"/>
        <v>39406895.342</v>
      </c>
    </row>
    <row r="81" spans="1:67" x14ac:dyDescent="0.25">
      <c r="A81" s="25" t="s">
        <v>226</v>
      </c>
      <c r="B81" s="84">
        <v>-13838</v>
      </c>
      <c r="C81" s="84">
        <v>-75331</v>
      </c>
      <c r="D81" s="84">
        <v>183901</v>
      </c>
      <c r="E81" s="84">
        <v>457192</v>
      </c>
      <c r="F81" s="84">
        <v>-108014</v>
      </c>
      <c r="G81" s="84">
        <v>-1368068</v>
      </c>
      <c r="H81" s="84">
        <v>299462</v>
      </c>
      <c r="I81" s="84">
        <v>-213074</v>
      </c>
      <c r="J81" s="84">
        <v>351951</v>
      </c>
      <c r="K81" s="84">
        <v>686143</v>
      </c>
      <c r="L81" s="84">
        <v>117831</v>
      </c>
      <c r="M81" s="84">
        <v>266968</v>
      </c>
      <c r="N81" s="84">
        <v>-54131.59</v>
      </c>
      <c r="O81" s="84">
        <v>-169770.2</v>
      </c>
      <c r="P81" s="84">
        <v>38422</v>
      </c>
      <c r="Q81" s="84">
        <v>105074</v>
      </c>
      <c r="R81" s="84">
        <v>101476</v>
      </c>
      <c r="S81" s="84">
        <v>546752</v>
      </c>
      <c r="T81" s="84">
        <v>215871</v>
      </c>
      <c r="U81" s="84">
        <v>527910</v>
      </c>
      <c r="V81" s="84">
        <v>-415662</v>
      </c>
      <c r="W81" s="84">
        <v>-1358209</v>
      </c>
      <c r="X81" s="84">
        <v>2243835</v>
      </c>
      <c r="Y81" s="84">
        <v>4911470</v>
      </c>
      <c r="Z81" s="84">
        <v>319336</v>
      </c>
      <c r="AA81" s="84">
        <v>1551657</v>
      </c>
      <c r="AB81" s="84">
        <v>75752</v>
      </c>
      <c r="AC81" s="84">
        <v>215132</v>
      </c>
      <c r="AD81" s="84">
        <v>386790</v>
      </c>
      <c r="AE81" s="84">
        <v>913902</v>
      </c>
      <c r="AF81" s="84">
        <v>-123152</v>
      </c>
      <c r="AG81" s="84">
        <v>-382370</v>
      </c>
      <c r="AH81" s="74">
        <v>206678</v>
      </c>
      <c r="AI81" s="25">
        <v>571389</v>
      </c>
      <c r="AJ81" s="84">
        <v>176653</v>
      </c>
      <c r="AK81" s="84">
        <v>345429</v>
      </c>
      <c r="AL81" s="9">
        <v>2388338.0145099997</v>
      </c>
      <c r="AM81" s="9">
        <v>6287929.3200200014</v>
      </c>
      <c r="AN81" s="84">
        <v>15192</v>
      </c>
      <c r="AO81" s="84">
        <v>35644</v>
      </c>
      <c r="AP81" s="84">
        <v>112319</v>
      </c>
      <c r="AQ81" s="84">
        <v>214606</v>
      </c>
      <c r="AR81" s="9">
        <v>-757089</v>
      </c>
      <c r="AS81" s="9">
        <v>-1144931</v>
      </c>
      <c r="AT81" s="84">
        <v>178524</v>
      </c>
      <c r="AU81" s="84">
        <v>122467</v>
      </c>
      <c r="AV81" s="84">
        <v>403768</v>
      </c>
      <c r="AW81" s="84">
        <v>990918</v>
      </c>
      <c r="AX81" s="84">
        <v>-260519</v>
      </c>
      <c r="AY81" s="84">
        <v>-1523858</v>
      </c>
      <c r="AZ81" s="84">
        <v>278345</v>
      </c>
      <c r="BA81" s="84">
        <v>807835</v>
      </c>
      <c r="BB81" s="84">
        <v>1710173</v>
      </c>
      <c r="BC81" s="84">
        <v>4731595</v>
      </c>
      <c r="BD81" s="84">
        <v>1007697</v>
      </c>
      <c r="BE81" s="84">
        <v>1790649</v>
      </c>
      <c r="BF81" s="84">
        <v>6287364</v>
      </c>
      <c r="BG81" s="84">
        <v>18438704</v>
      </c>
      <c r="BH81" s="84">
        <v>2447467</v>
      </c>
      <c r="BI81" s="84">
        <v>6072805</v>
      </c>
      <c r="BJ81" s="84">
        <v>2299705</v>
      </c>
      <c r="BK81" s="84">
        <v>6319020</v>
      </c>
      <c r="BL81" s="9"/>
      <c r="BM81" s="9"/>
      <c r="BN81" s="73">
        <f t="shared" si="26"/>
        <v>20114444.424510002</v>
      </c>
      <c r="BO81" s="73">
        <f t="shared" si="27"/>
        <v>50675579.120020002</v>
      </c>
    </row>
  </sheetData>
  <mergeCells count="330">
    <mergeCell ref="BN76:BO76"/>
    <mergeCell ref="AT76:AU76"/>
    <mergeCell ref="AV76:AW76"/>
    <mergeCell ref="AX76:AY76"/>
    <mergeCell ref="AZ76:BA76"/>
    <mergeCell ref="BB76:BC76"/>
    <mergeCell ref="BD76:BE76"/>
    <mergeCell ref="Z76:AA76"/>
    <mergeCell ref="AB76:AC76"/>
    <mergeCell ref="AD76:AE76"/>
    <mergeCell ref="AF76:AG76"/>
    <mergeCell ref="BF76:BG76"/>
    <mergeCell ref="BH76:BI76"/>
    <mergeCell ref="BJ76:BK76"/>
    <mergeCell ref="BL76:BM76"/>
    <mergeCell ref="L76:M76"/>
    <mergeCell ref="N76:O76"/>
    <mergeCell ref="P76:Q76"/>
    <mergeCell ref="R76:S76"/>
    <mergeCell ref="T76:U76"/>
    <mergeCell ref="V76:W76"/>
    <mergeCell ref="BH68:BI68"/>
    <mergeCell ref="BJ68:BK68"/>
    <mergeCell ref="BL68:BM68"/>
    <mergeCell ref="AH68:AI68"/>
    <mergeCell ref="N68:O68"/>
    <mergeCell ref="P68:Q68"/>
    <mergeCell ref="R68:S68"/>
    <mergeCell ref="T68:U68"/>
    <mergeCell ref="V68:W68"/>
    <mergeCell ref="AH76:AI76"/>
    <mergeCell ref="AJ76:AK76"/>
    <mergeCell ref="AL76:AM76"/>
    <mergeCell ref="AN76:AO76"/>
    <mergeCell ref="AP76:AQ76"/>
    <mergeCell ref="AR76:AS76"/>
    <mergeCell ref="X76:Y76"/>
    <mergeCell ref="BN68:BO68"/>
    <mergeCell ref="B76:C76"/>
    <mergeCell ref="D76:E76"/>
    <mergeCell ref="F76:G76"/>
    <mergeCell ref="H76:I76"/>
    <mergeCell ref="J76:K76"/>
    <mergeCell ref="AV68:AW68"/>
    <mergeCell ref="AX68:AY68"/>
    <mergeCell ref="AZ68:BA68"/>
    <mergeCell ref="BB68:BC68"/>
    <mergeCell ref="BD68:BE68"/>
    <mergeCell ref="BF68:BG68"/>
    <mergeCell ref="AJ68:AK68"/>
    <mergeCell ref="AL68:AM68"/>
    <mergeCell ref="AN68:AO68"/>
    <mergeCell ref="AP68:AQ68"/>
    <mergeCell ref="AR68:AS68"/>
    <mergeCell ref="AT68:AU68"/>
    <mergeCell ref="X68:Y68"/>
    <mergeCell ref="Z68:AA68"/>
    <mergeCell ref="AB68:AC68"/>
    <mergeCell ref="AD68:AE68"/>
    <mergeCell ref="AF68:AG68"/>
    <mergeCell ref="B68:C68"/>
    <mergeCell ref="D68:E68"/>
    <mergeCell ref="F68:G68"/>
    <mergeCell ref="H68:I68"/>
    <mergeCell ref="J68:K68"/>
    <mergeCell ref="L68:M68"/>
    <mergeCell ref="BF60:BG60"/>
    <mergeCell ref="BH60:BI60"/>
    <mergeCell ref="BJ60:BK60"/>
    <mergeCell ref="AH60:AI60"/>
    <mergeCell ref="AJ60:AK60"/>
    <mergeCell ref="AL60:AM60"/>
    <mergeCell ref="AN60:AO60"/>
    <mergeCell ref="AP60:AQ60"/>
    <mergeCell ref="AR60:AS60"/>
    <mergeCell ref="X60:Y60"/>
    <mergeCell ref="Z60:AA60"/>
    <mergeCell ref="AB60:AC60"/>
    <mergeCell ref="AD60:AE60"/>
    <mergeCell ref="AF60:AG60"/>
    <mergeCell ref="L60:M60"/>
    <mergeCell ref="N60:O60"/>
    <mergeCell ref="P60:Q60"/>
    <mergeCell ref="AT60:AU60"/>
    <mergeCell ref="AV60:AW60"/>
    <mergeCell ref="AX60:AY60"/>
    <mergeCell ref="AZ60:BA60"/>
    <mergeCell ref="BB60:BC60"/>
    <mergeCell ref="BD60:BE60"/>
    <mergeCell ref="R60:S60"/>
    <mergeCell ref="T60:U60"/>
    <mergeCell ref="V60:W60"/>
    <mergeCell ref="BL52:BM52"/>
    <mergeCell ref="BN52:BO52"/>
    <mergeCell ref="BD52:BE52"/>
    <mergeCell ref="BF52:BG52"/>
    <mergeCell ref="BL60:BM60"/>
    <mergeCell ref="BN60:BO60"/>
    <mergeCell ref="V52:W52"/>
    <mergeCell ref="BH52:BI52"/>
    <mergeCell ref="BJ52:BK52"/>
    <mergeCell ref="B60:C60"/>
    <mergeCell ref="D60:E60"/>
    <mergeCell ref="F60:G60"/>
    <mergeCell ref="H60:I60"/>
    <mergeCell ref="J60:K60"/>
    <mergeCell ref="AV52:AW52"/>
    <mergeCell ref="AX52:AY52"/>
    <mergeCell ref="AZ52:BA52"/>
    <mergeCell ref="BB52:BC52"/>
    <mergeCell ref="AJ52:AK52"/>
    <mergeCell ref="AL52:AM52"/>
    <mergeCell ref="AN52:AO52"/>
    <mergeCell ref="AP52:AQ52"/>
    <mergeCell ref="AR52:AS52"/>
    <mergeCell ref="AT52:AU52"/>
    <mergeCell ref="X52:Y52"/>
    <mergeCell ref="Z52:AA52"/>
    <mergeCell ref="AB52:AC52"/>
    <mergeCell ref="AF52:AG52"/>
    <mergeCell ref="AH52:AI52"/>
    <mergeCell ref="N52:O52"/>
    <mergeCell ref="P52:Q52"/>
    <mergeCell ref="R52:S52"/>
    <mergeCell ref="T52:U52"/>
    <mergeCell ref="B52:C52"/>
    <mergeCell ref="D52:E52"/>
    <mergeCell ref="F52:G52"/>
    <mergeCell ref="H52:I52"/>
    <mergeCell ref="J52:K52"/>
    <mergeCell ref="L52:M52"/>
    <mergeCell ref="BF44:BG44"/>
    <mergeCell ref="BH44:BI44"/>
    <mergeCell ref="BJ44:BK44"/>
    <mergeCell ref="AH44:AI44"/>
    <mergeCell ref="AJ44:AK44"/>
    <mergeCell ref="AL44:AM44"/>
    <mergeCell ref="AN44:AO44"/>
    <mergeCell ref="AP44:AQ44"/>
    <mergeCell ref="AR44:AS44"/>
    <mergeCell ref="X44:Y44"/>
    <mergeCell ref="Z44:AA44"/>
    <mergeCell ref="AB44:AC44"/>
    <mergeCell ref="AD44:AE44"/>
    <mergeCell ref="AF44:AG44"/>
    <mergeCell ref="L44:M44"/>
    <mergeCell ref="N44:O44"/>
    <mergeCell ref="P44:Q44"/>
    <mergeCell ref="AD52:AE52"/>
    <mergeCell ref="AT44:AU44"/>
    <mergeCell ref="AV44:AW44"/>
    <mergeCell ref="AX44:AY44"/>
    <mergeCell ref="AZ44:BA44"/>
    <mergeCell ref="BB44:BC44"/>
    <mergeCell ref="BD44:BE44"/>
    <mergeCell ref="R44:S44"/>
    <mergeCell ref="T44:U44"/>
    <mergeCell ref="V44:W44"/>
    <mergeCell ref="BL36:BM36"/>
    <mergeCell ref="BN36:BO36"/>
    <mergeCell ref="B44:C44"/>
    <mergeCell ref="D44:E44"/>
    <mergeCell ref="F44:G44"/>
    <mergeCell ref="H44:I44"/>
    <mergeCell ref="J44:K44"/>
    <mergeCell ref="AV36:AW36"/>
    <mergeCell ref="AX36:AY36"/>
    <mergeCell ref="AZ36:BA36"/>
    <mergeCell ref="BB36:BC36"/>
    <mergeCell ref="BD36:BE36"/>
    <mergeCell ref="BF36:BG36"/>
    <mergeCell ref="AJ36:AK36"/>
    <mergeCell ref="AL36:AM36"/>
    <mergeCell ref="AN36:AO36"/>
    <mergeCell ref="AP36:AQ36"/>
    <mergeCell ref="AR36:AS36"/>
    <mergeCell ref="AT36:AU36"/>
    <mergeCell ref="X36:Y36"/>
    <mergeCell ref="Z36:AA36"/>
    <mergeCell ref="AB36:AC36"/>
    <mergeCell ref="BL44:BM44"/>
    <mergeCell ref="BN44:BO44"/>
    <mergeCell ref="AF36:AG36"/>
    <mergeCell ref="AH36:AI36"/>
    <mergeCell ref="N36:O36"/>
    <mergeCell ref="P36:Q36"/>
    <mergeCell ref="R36:S36"/>
    <mergeCell ref="T36:U36"/>
    <mergeCell ref="V36:W36"/>
    <mergeCell ref="BH36:BI36"/>
    <mergeCell ref="BJ36:BK36"/>
    <mergeCell ref="B36:C36"/>
    <mergeCell ref="D36:E36"/>
    <mergeCell ref="F36:G36"/>
    <mergeCell ref="H36:I36"/>
    <mergeCell ref="J36:K36"/>
    <mergeCell ref="L36:M36"/>
    <mergeCell ref="BF28:BG28"/>
    <mergeCell ref="BH28:BI28"/>
    <mergeCell ref="BJ28:BK28"/>
    <mergeCell ref="AH28:AI28"/>
    <mergeCell ref="AJ28:AK28"/>
    <mergeCell ref="AL28:AM28"/>
    <mergeCell ref="AN28:AO28"/>
    <mergeCell ref="AP28:AQ28"/>
    <mergeCell ref="AR28:AS28"/>
    <mergeCell ref="X28:Y28"/>
    <mergeCell ref="Z28:AA28"/>
    <mergeCell ref="AB28:AC28"/>
    <mergeCell ref="AD28:AE28"/>
    <mergeCell ref="AF28:AG28"/>
    <mergeCell ref="L28:M28"/>
    <mergeCell ref="N28:O28"/>
    <mergeCell ref="P28:Q28"/>
    <mergeCell ref="AD36:AE36"/>
    <mergeCell ref="AT28:AU28"/>
    <mergeCell ref="AV28:AW28"/>
    <mergeCell ref="AX28:AY28"/>
    <mergeCell ref="AZ28:BA28"/>
    <mergeCell ref="BB28:BC28"/>
    <mergeCell ref="BD28:BE28"/>
    <mergeCell ref="R28:S28"/>
    <mergeCell ref="T28:U28"/>
    <mergeCell ref="V28:W28"/>
    <mergeCell ref="BL20:BM20"/>
    <mergeCell ref="BN20:BO20"/>
    <mergeCell ref="B28:C28"/>
    <mergeCell ref="D28:E28"/>
    <mergeCell ref="F28:G28"/>
    <mergeCell ref="H28:I28"/>
    <mergeCell ref="J28:K28"/>
    <mergeCell ref="AV20:AW20"/>
    <mergeCell ref="AX20:AY20"/>
    <mergeCell ref="AZ20:BA20"/>
    <mergeCell ref="BB20:BC20"/>
    <mergeCell ref="BD20:BE20"/>
    <mergeCell ref="BF20:BG20"/>
    <mergeCell ref="AJ20:AK20"/>
    <mergeCell ref="AL20:AM20"/>
    <mergeCell ref="AN20:AO20"/>
    <mergeCell ref="AP20:AQ20"/>
    <mergeCell ref="AR20:AS20"/>
    <mergeCell ref="AT20:AU20"/>
    <mergeCell ref="X20:Y20"/>
    <mergeCell ref="Z20:AA20"/>
    <mergeCell ref="AB20:AC20"/>
    <mergeCell ref="BL28:BM28"/>
    <mergeCell ref="BN28:BO28"/>
    <mergeCell ref="AF20:AG20"/>
    <mergeCell ref="AH20:AI20"/>
    <mergeCell ref="N20:O20"/>
    <mergeCell ref="P20:Q20"/>
    <mergeCell ref="R20:S20"/>
    <mergeCell ref="T20:U20"/>
    <mergeCell ref="V20:W20"/>
    <mergeCell ref="BH20:BI20"/>
    <mergeCell ref="BJ20:BK20"/>
    <mergeCell ref="B20:C20"/>
    <mergeCell ref="D20:E20"/>
    <mergeCell ref="F20:G20"/>
    <mergeCell ref="H20:I20"/>
    <mergeCell ref="J20:K20"/>
    <mergeCell ref="L20:M20"/>
    <mergeCell ref="BF12:BG12"/>
    <mergeCell ref="BH12:BI12"/>
    <mergeCell ref="BJ12:BK12"/>
    <mergeCell ref="AH12:AI12"/>
    <mergeCell ref="AJ12:AK12"/>
    <mergeCell ref="AL12:AM12"/>
    <mergeCell ref="AN12:AO12"/>
    <mergeCell ref="AP12:AQ12"/>
    <mergeCell ref="AR12:AS12"/>
    <mergeCell ref="X12:Y12"/>
    <mergeCell ref="Z12:AA12"/>
    <mergeCell ref="AB12:AC12"/>
    <mergeCell ref="AD12:AE12"/>
    <mergeCell ref="AF12:AG12"/>
    <mergeCell ref="L12:M12"/>
    <mergeCell ref="N12:O12"/>
    <mergeCell ref="P12:Q12"/>
    <mergeCell ref="AD20:AE20"/>
    <mergeCell ref="BL12:BM12"/>
    <mergeCell ref="BN12:BO12"/>
    <mergeCell ref="AT12:AU12"/>
    <mergeCell ref="AV12:AW12"/>
    <mergeCell ref="AX12:AY12"/>
    <mergeCell ref="AZ12:BA12"/>
    <mergeCell ref="BB12:BC12"/>
    <mergeCell ref="BD12:BE12"/>
    <mergeCell ref="R12:S12"/>
    <mergeCell ref="T12:U12"/>
    <mergeCell ref="V12:W12"/>
    <mergeCell ref="BH4:BI4"/>
    <mergeCell ref="BJ4:BK4"/>
    <mergeCell ref="BL4:BM4"/>
    <mergeCell ref="BN4:BO4"/>
    <mergeCell ref="B12:C12"/>
    <mergeCell ref="D12:E12"/>
    <mergeCell ref="F12:G12"/>
    <mergeCell ref="H12:I12"/>
    <mergeCell ref="J12:K12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B4:C4"/>
    <mergeCell ref="D4:E4"/>
    <mergeCell ref="F4:G4"/>
    <mergeCell ref="H4:I4"/>
    <mergeCell ref="J4:K4"/>
    <mergeCell ref="L4:M4"/>
    <mergeCell ref="AT4:AU4"/>
    <mergeCell ref="X4:Y4"/>
    <mergeCell ref="Z4:AA4"/>
    <mergeCell ref="AB4:AC4"/>
    <mergeCell ref="AD4:AE4"/>
    <mergeCell ref="AF4:AG4"/>
    <mergeCell ref="AH4:AI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5" x14ac:dyDescent="0.25"/>
  <cols>
    <col min="1" max="1" width="45.7109375" style="76" customWidth="1"/>
    <col min="2" max="33" width="16" style="76" customWidth="1"/>
    <col min="34" max="34" width="16" style="7" customWidth="1"/>
    <col min="35" max="67" width="16" style="76" customWidth="1"/>
    <col min="68" max="16384" width="9.140625" style="76"/>
  </cols>
  <sheetData>
    <row r="1" spans="1:67" ht="18.75" x14ac:dyDescent="0.3">
      <c r="A1" s="4" t="s">
        <v>202</v>
      </c>
    </row>
    <row r="2" spans="1:67" x14ac:dyDescent="0.25">
      <c r="A2" s="5" t="s">
        <v>34</v>
      </c>
    </row>
    <row r="3" spans="1:67" x14ac:dyDescent="0.25">
      <c r="A3" s="1" t="s">
        <v>0</v>
      </c>
      <c r="B3" s="103" t="s">
        <v>1</v>
      </c>
      <c r="C3" s="104"/>
      <c r="D3" s="103" t="s">
        <v>282</v>
      </c>
      <c r="E3" s="104"/>
      <c r="F3" s="103" t="s">
        <v>2</v>
      </c>
      <c r="G3" s="104"/>
      <c r="H3" s="103" t="s">
        <v>3</v>
      </c>
      <c r="I3" s="104"/>
      <c r="J3" s="103" t="s">
        <v>4</v>
      </c>
      <c r="K3" s="104"/>
      <c r="L3" s="103" t="s">
        <v>283</v>
      </c>
      <c r="M3" s="104"/>
      <c r="N3" s="103" t="s">
        <v>6</v>
      </c>
      <c r="O3" s="104"/>
      <c r="P3" s="103" t="s">
        <v>5</v>
      </c>
      <c r="Q3" s="104"/>
      <c r="R3" s="103" t="s">
        <v>7</v>
      </c>
      <c r="S3" s="104"/>
      <c r="T3" s="103" t="s">
        <v>284</v>
      </c>
      <c r="U3" s="104"/>
      <c r="V3" s="103" t="s">
        <v>8</v>
      </c>
      <c r="W3" s="104"/>
      <c r="X3" s="103" t="s">
        <v>9</v>
      </c>
      <c r="Y3" s="104"/>
      <c r="Z3" s="103" t="s">
        <v>10</v>
      </c>
      <c r="AA3" s="104"/>
      <c r="AB3" s="103" t="s">
        <v>304</v>
      </c>
      <c r="AC3" s="104"/>
      <c r="AD3" s="103" t="s">
        <v>11</v>
      </c>
      <c r="AE3" s="104"/>
      <c r="AF3" s="103" t="s">
        <v>12</v>
      </c>
      <c r="AG3" s="104"/>
      <c r="AH3" s="103" t="s">
        <v>285</v>
      </c>
      <c r="AI3" s="104"/>
      <c r="AJ3" s="103" t="s">
        <v>290</v>
      </c>
      <c r="AK3" s="104"/>
      <c r="AL3" s="103" t="s">
        <v>13</v>
      </c>
      <c r="AM3" s="104"/>
      <c r="AN3" s="103" t="s">
        <v>286</v>
      </c>
      <c r="AO3" s="104"/>
      <c r="AP3" s="103" t="s">
        <v>287</v>
      </c>
      <c r="AQ3" s="104"/>
      <c r="AR3" s="103" t="s">
        <v>291</v>
      </c>
      <c r="AS3" s="104"/>
      <c r="AT3" s="103" t="s">
        <v>305</v>
      </c>
      <c r="AU3" s="104"/>
      <c r="AV3" s="103" t="s">
        <v>14</v>
      </c>
      <c r="AW3" s="104"/>
      <c r="AX3" s="103" t="s">
        <v>15</v>
      </c>
      <c r="AY3" s="104"/>
      <c r="AZ3" s="103" t="s">
        <v>16</v>
      </c>
      <c r="BA3" s="104"/>
      <c r="BB3" s="103" t="s">
        <v>17</v>
      </c>
      <c r="BC3" s="104"/>
      <c r="BD3" s="103" t="s">
        <v>18</v>
      </c>
      <c r="BE3" s="104"/>
      <c r="BF3" s="103" t="s">
        <v>288</v>
      </c>
      <c r="BG3" s="104"/>
      <c r="BH3" s="103" t="s">
        <v>289</v>
      </c>
      <c r="BI3" s="104"/>
      <c r="BJ3" s="103" t="s">
        <v>19</v>
      </c>
      <c r="BK3" s="104"/>
      <c r="BL3" s="103" t="s">
        <v>20</v>
      </c>
      <c r="BM3" s="104"/>
      <c r="BN3" s="107" t="s">
        <v>21</v>
      </c>
      <c r="BO3" s="107"/>
    </row>
    <row r="4" spans="1:67" ht="30" x14ac:dyDescent="0.25">
      <c r="A4" s="1"/>
      <c r="B4" s="57" t="s">
        <v>293</v>
      </c>
      <c r="C4" s="58" t="s">
        <v>294</v>
      </c>
      <c r="D4" s="57" t="s">
        <v>293</v>
      </c>
      <c r="E4" s="58" t="s">
        <v>294</v>
      </c>
      <c r="F4" s="57" t="s">
        <v>293</v>
      </c>
      <c r="G4" s="58" t="s">
        <v>294</v>
      </c>
      <c r="H4" s="57" t="s">
        <v>293</v>
      </c>
      <c r="I4" s="58" t="s">
        <v>294</v>
      </c>
      <c r="J4" s="57" t="s">
        <v>293</v>
      </c>
      <c r="K4" s="58" t="s">
        <v>294</v>
      </c>
      <c r="L4" s="57" t="s">
        <v>293</v>
      </c>
      <c r="M4" s="58" t="s">
        <v>294</v>
      </c>
      <c r="N4" s="57" t="s">
        <v>293</v>
      </c>
      <c r="O4" s="58" t="s">
        <v>294</v>
      </c>
      <c r="P4" s="57" t="s">
        <v>293</v>
      </c>
      <c r="Q4" s="58" t="s">
        <v>294</v>
      </c>
      <c r="R4" s="57" t="s">
        <v>293</v>
      </c>
      <c r="S4" s="58" t="s">
        <v>294</v>
      </c>
      <c r="T4" s="57" t="s">
        <v>293</v>
      </c>
      <c r="U4" s="58" t="s">
        <v>294</v>
      </c>
      <c r="V4" s="57" t="s">
        <v>293</v>
      </c>
      <c r="W4" s="58" t="s">
        <v>294</v>
      </c>
      <c r="X4" s="57" t="s">
        <v>293</v>
      </c>
      <c r="Y4" s="58" t="s">
        <v>294</v>
      </c>
      <c r="Z4" s="57" t="s">
        <v>293</v>
      </c>
      <c r="AA4" s="58" t="s">
        <v>294</v>
      </c>
      <c r="AB4" s="57" t="s">
        <v>293</v>
      </c>
      <c r="AC4" s="58" t="s">
        <v>294</v>
      </c>
      <c r="AD4" s="57" t="s">
        <v>293</v>
      </c>
      <c r="AE4" s="58" t="s">
        <v>294</v>
      </c>
      <c r="AF4" s="57" t="s">
        <v>293</v>
      </c>
      <c r="AG4" s="58" t="s">
        <v>294</v>
      </c>
      <c r="AH4" s="57" t="s">
        <v>293</v>
      </c>
      <c r="AI4" s="58" t="s">
        <v>294</v>
      </c>
      <c r="AJ4" s="57" t="s">
        <v>293</v>
      </c>
      <c r="AK4" s="58" t="s">
        <v>294</v>
      </c>
      <c r="AL4" s="57" t="s">
        <v>293</v>
      </c>
      <c r="AM4" s="58" t="s">
        <v>294</v>
      </c>
      <c r="AN4" s="57" t="s">
        <v>293</v>
      </c>
      <c r="AO4" s="58" t="s">
        <v>294</v>
      </c>
      <c r="AP4" s="57" t="s">
        <v>293</v>
      </c>
      <c r="AQ4" s="58" t="s">
        <v>294</v>
      </c>
      <c r="AR4" s="57" t="s">
        <v>293</v>
      </c>
      <c r="AS4" s="58" t="s">
        <v>294</v>
      </c>
      <c r="AT4" s="57" t="s">
        <v>293</v>
      </c>
      <c r="AU4" s="58" t="s">
        <v>294</v>
      </c>
      <c r="AV4" s="57" t="s">
        <v>293</v>
      </c>
      <c r="AW4" s="58" t="s">
        <v>294</v>
      </c>
      <c r="AX4" s="57" t="s">
        <v>293</v>
      </c>
      <c r="AY4" s="58" t="s">
        <v>294</v>
      </c>
      <c r="AZ4" s="57" t="s">
        <v>293</v>
      </c>
      <c r="BA4" s="58" t="s">
        <v>294</v>
      </c>
      <c r="BB4" s="57" t="s">
        <v>293</v>
      </c>
      <c r="BC4" s="58" t="s">
        <v>294</v>
      </c>
      <c r="BD4" s="57" t="s">
        <v>293</v>
      </c>
      <c r="BE4" s="58" t="s">
        <v>294</v>
      </c>
      <c r="BF4" s="57" t="s">
        <v>293</v>
      </c>
      <c r="BG4" s="58" t="s">
        <v>294</v>
      </c>
      <c r="BH4" s="57" t="s">
        <v>293</v>
      </c>
      <c r="BI4" s="58" t="s">
        <v>294</v>
      </c>
      <c r="BJ4" s="57" t="s">
        <v>293</v>
      </c>
      <c r="BK4" s="58" t="s">
        <v>294</v>
      </c>
      <c r="BL4" s="57" t="s">
        <v>293</v>
      </c>
      <c r="BM4" s="58" t="s">
        <v>294</v>
      </c>
      <c r="BN4" s="57" t="s">
        <v>293</v>
      </c>
      <c r="BO4" s="58" t="s">
        <v>294</v>
      </c>
    </row>
    <row r="5" spans="1:67" x14ac:dyDescent="0.25">
      <c r="A5" s="21" t="s">
        <v>203</v>
      </c>
      <c r="B5" s="84">
        <v>126198</v>
      </c>
      <c r="C5" s="84">
        <v>343149</v>
      </c>
      <c r="D5" s="84">
        <v>819644</v>
      </c>
      <c r="E5" s="84">
        <v>2363566</v>
      </c>
      <c r="F5" s="84">
        <v>143665</v>
      </c>
      <c r="G5" s="84">
        <v>451993</v>
      </c>
      <c r="H5" s="84">
        <v>2043751</v>
      </c>
      <c r="I5" s="84">
        <v>5862897</v>
      </c>
      <c r="J5" s="84">
        <v>679648</v>
      </c>
      <c r="K5" s="84">
        <v>1807036</v>
      </c>
      <c r="L5" s="84">
        <v>404867</v>
      </c>
      <c r="M5" s="84">
        <v>1132033</v>
      </c>
      <c r="N5" s="84">
        <v>435911.19</v>
      </c>
      <c r="O5" s="84">
        <v>1099585.1100000001</v>
      </c>
      <c r="P5" s="84">
        <v>135694</v>
      </c>
      <c r="Q5" s="84">
        <v>408984</v>
      </c>
      <c r="R5" s="84">
        <v>663098</v>
      </c>
      <c r="S5" s="84">
        <v>1843579</v>
      </c>
      <c r="T5" s="84">
        <v>365378</v>
      </c>
      <c r="U5" s="84">
        <v>1071150</v>
      </c>
      <c r="V5" s="84">
        <v>1268475</v>
      </c>
      <c r="W5" s="84">
        <v>4001149</v>
      </c>
      <c r="X5" s="84">
        <v>1647682</v>
      </c>
      <c r="Y5" s="84">
        <v>5462800</v>
      </c>
      <c r="Z5" s="84">
        <v>1046947</v>
      </c>
      <c r="AA5" s="84">
        <v>2799601</v>
      </c>
      <c r="AB5" s="84">
        <v>174083</v>
      </c>
      <c r="AC5" s="84">
        <v>525311</v>
      </c>
      <c r="AD5" s="84">
        <v>394165</v>
      </c>
      <c r="AE5" s="84">
        <v>1154650</v>
      </c>
      <c r="AF5" s="84">
        <v>271332</v>
      </c>
      <c r="AG5" s="84">
        <v>806211</v>
      </c>
      <c r="AH5" s="74">
        <v>403131</v>
      </c>
      <c r="AI5" s="84">
        <v>1089465</v>
      </c>
      <c r="AJ5" s="84">
        <v>585464</v>
      </c>
      <c r="AK5" s="84">
        <v>1691290</v>
      </c>
      <c r="AL5" s="84">
        <v>5877610</v>
      </c>
      <c r="AM5" s="84">
        <v>19883745</v>
      </c>
      <c r="AN5" s="84">
        <v>65330</v>
      </c>
      <c r="AO5" s="84">
        <v>227757</v>
      </c>
      <c r="AP5" s="84">
        <v>96715</v>
      </c>
      <c r="AQ5" s="84">
        <v>302623</v>
      </c>
      <c r="AR5" s="84">
        <v>1057443</v>
      </c>
      <c r="AS5" s="84">
        <v>3145175</v>
      </c>
      <c r="AT5" s="84">
        <v>1016871</v>
      </c>
      <c r="AU5" s="84">
        <v>2952330</v>
      </c>
      <c r="AV5" s="84">
        <v>499355</v>
      </c>
      <c r="AW5" s="84">
        <v>1449965</v>
      </c>
      <c r="AX5" s="84">
        <v>966283</v>
      </c>
      <c r="AY5" s="84">
        <v>2841896</v>
      </c>
      <c r="AZ5" s="84">
        <v>229786</v>
      </c>
      <c r="BA5" s="84">
        <v>712796</v>
      </c>
      <c r="BB5" s="84">
        <v>2763593</v>
      </c>
      <c r="BC5" s="84">
        <v>7852304</v>
      </c>
      <c r="BD5" s="84">
        <v>1314224</v>
      </c>
      <c r="BE5" s="84">
        <v>3882702</v>
      </c>
      <c r="BF5" s="84">
        <v>10725831</v>
      </c>
      <c r="BG5" s="84">
        <v>32441600</v>
      </c>
      <c r="BH5" s="84">
        <v>7207115</v>
      </c>
      <c r="BI5" s="84">
        <v>20659869</v>
      </c>
      <c r="BJ5" s="84">
        <v>7606924</v>
      </c>
      <c r="BK5" s="84">
        <v>21949037</v>
      </c>
      <c r="BL5" s="84">
        <v>214954</v>
      </c>
      <c r="BM5" s="84">
        <v>599782</v>
      </c>
      <c r="BN5" s="73">
        <f>SUM(B5+D5+F5+H5+J5+L5+N5+P5+R5+T5+V5+X5+Z5+AB5+AD5+AF5+AH5+AJ5+AL5+AN5+AP5+AR5+AT5+AV5+AX5+AZ5+BB5+BD5+BF5+BH5+BJ5+BL5)</f>
        <v>51251167.189999998</v>
      </c>
      <c r="BO5" s="73">
        <f>SUM(C5+E5+G5+I5+K5+M5+O5+Q5+S5+U5+W5+Y5+AA5+AC5+AE5+AG5+AI5+AK5+AM5+AO5+AQ5+AS5+AU5+AW5+AY5+BA5+BC5+BE5+BG5+BI5+BK5+BM5)</f>
        <v>152816030.11000001</v>
      </c>
    </row>
    <row r="6" spans="1:67" x14ac:dyDescent="0.25">
      <c r="A6" s="21" t="s">
        <v>204</v>
      </c>
      <c r="B6" s="84">
        <v>31</v>
      </c>
      <c r="C6" s="84">
        <v>197</v>
      </c>
      <c r="D6" s="84">
        <v>7651</v>
      </c>
      <c r="E6" s="84">
        <v>15254</v>
      </c>
      <c r="F6" s="84">
        <v>3726</v>
      </c>
      <c r="G6" s="84">
        <v>7465</v>
      </c>
      <c r="H6" s="84">
        <v>42074</v>
      </c>
      <c r="I6" s="84">
        <v>73767</v>
      </c>
      <c r="J6" s="84">
        <v>24422</v>
      </c>
      <c r="K6" s="84">
        <v>62273</v>
      </c>
      <c r="L6" s="84">
        <v>7899</v>
      </c>
      <c r="M6" s="84">
        <v>18130</v>
      </c>
      <c r="N6" s="84">
        <v>15421.68</v>
      </c>
      <c r="O6" s="84">
        <v>35491.69</v>
      </c>
      <c r="P6" s="84">
        <v>444</v>
      </c>
      <c r="Q6" s="84">
        <v>-99</v>
      </c>
      <c r="R6" s="84">
        <v>18159</v>
      </c>
      <c r="S6" s="84">
        <v>26688</v>
      </c>
      <c r="T6" s="84">
        <v>9029</v>
      </c>
      <c r="U6" s="84">
        <v>17752</v>
      </c>
      <c r="V6" s="84">
        <v>41157</v>
      </c>
      <c r="W6" s="84">
        <v>82377</v>
      </c>
      <c r="X6" s="84">
        <v>58363</v>
      </c>
      <c r="Y6" s="84">
        <v>131803</v>
      </c>
      <c r="Z6" s="84">
        <v>21732</v>
      </c>
      <c r="AA6" s="84">
        <v>40576</v>
      </c>
      <c r="AB6" s="84">
        <v>3196</v>
      </c>
      <c r="AC6" s="84">
        <v>5548</v>
      </c>
      <c r="AD6" s="84">
        <v>8958</v>
      </c>
      <c r="AE6" s="84">
        <v>11559</v>
      </c>
      <c r="AF6" s="84">
        <v>1075</v>
      </c>
      <c r="AG6" s="84">
        <v>3620</v>
      </c>
      <c r="AH6" s="74">
        <v>2397</v>
      </c>
      <c r="AI6" s="84">
        <v>1161</v>
      </c>
      <c r="AJ6" s="84">
        <v>14668</v>
      </c>
      <c r="AK6" s="84">
        <v>36486</v>
      </c>
      <c r="AL6" s="84">
        <v>48099</v>
      </c>
      <c r="AM6" s="84">
        <v>124488</v>
      </c>
      <c r="AN6" s="84">
        <v>671</v>
      </c>
      <c r="AO6" s="84">
        <v>1441</v>
      </c>
      <c r="AP6" s="84">
        <v>1148</v>
      </c>
      <c r="AQ6" s="84">
        <v>1776</v>
      </c>
      <c r="AR6" s="84">
        <v>47653</v>
      </c>
      <c r="AS6" s="84">
        <v>144866</v>
      </c>
      <c r="AT6" s="84">
        <v>2074</v>
      </c>
      <c r="AU6" s="84">
        <v>31481</v>
      </c>
      <c r="AV6" s="84">
        <v>7783</v>
      </c>
      <c r="AW6" s="84">
        <v>12792</v>
      </c>
      <c r="AX6" s="84">
        <v>49964</v>
      </c>
      <c r="AY6" s="84">
        <v>84434</v>
      </c>
      <c r="AZ6" s="84">
        <v>16883</v>
      </c>
      <c r="BA6" s="84">
        <v>44855</v>
      </c>
      <c r="BB6" s="84">
        <v>64081</v>
      </c>
      <c r="BC6" s="84">
        <v>107949</v>
      </c>
      <c r="BD6" s="84">
        <v>33762</v>
      </c>
      <c r="BE6" s="84">
        <v>51134</v>
      </c>
      <c r="BF6" s="84">
        <v>83685</v>
      </c>
      <c r="BG6" s="84">
        <v>214516</v>
      </c>
      <c r="BH6" s="84">
        <v>43090</v>
      </c>
      <c r="BI6" s="84">
        <v>117933</v>
      </c>
      <c r="BJ6" s="84">
        <v>58012</v>
      </c>
      <c r="BK6" s="84">
        <v>127567</v>
      </c>
      <c r="BL6" s="84">
        <v>7456</v>
      </c>
      <c r="BM6" s="84">
        <v>13366</v>
      </c>
      <c r="BN6" s="73">
        <f t="shared" ref="BN6:BN18" si="0">SUM(B6+D6+F6+H6+J6+L6+N6+P6+R6+T6+V6+X6+Z6+AB6+AD6+AF6+AH6+AJ6+AL6+AN6+AP6+AR6+AT6+AV6+AX6+AZ6+BB6+BD6+BF6+BH6+BJ6+BL6)</f>
        <v>744763.67999999993</v>
      </c>
      <c r="BO6" s="73">
        <f t="shared" ref="BO6:BO18" si="1">SUM(C6+E6+G6+I6+K6+M6+O6+Q6+S6+U6+W6+Y6+AA6+AC6+AE6+AG6+AI6+AK6+AM6+AO6+AQ6+AS6+AU6+AW6+AY6+BA6+BC6+BE6+BG6+BI6+BK6+BM6)</f>
        <v>1648646.69</v>
      </c>
    </row>
    <row r="7" spans="1:67" x14ac:dyDescent="0.25">
      <c r="A7" s="21" t="s">
        <v>205</v>
      </c>
      <c r="B7" s="84">
        <v>31</v>
      </c>
      <c r="C7" s="84">
        <v>72</v>
      </c>
      <c r="D7" s="84">
        <v>-33879</v>
      </c>
      <c r="E7" s="84">
        <v>-31070</v>
      </c>
      <c r="F7" s="84">
        <v>80</v>
      </c>
      <c r="G7" s="84">
        <v>163</v>
      </c>
      <c r="H7" s="84">
        <v>187</v>
      </c>
      <c r="I7" s="84">
        <v>475</v>
      </c>
      <c r="J7" s="84">
        <v>5683</v>
      </c>
      <c r="K7" s="84">
        <v>24354</v>
      </c>
      <c r="L7" s="84">
        <v>4375</v>
      </c>
      <c r="M7" s="84">
        <v>16570</v>
      </c>
      <c r="N7" s="84">
        <v>493.28</v>
      </c>
      <c r="O7" s="84">
        <v>734.7</v>
      </c>
      <c r="P7" s="84">
        <v>243</v>
      </c>
      <c r="Q7" s="84">
        <v>495</v>
      </c>
      <c r="R7" s="84">
        <v>1007</v>
      </c>
      <c r="S7" s="84">
        <v>71676</v>
      </c>
      <c r="T7" s="84">
        <v>1721</v>
      </c>
      <c r="U7" s="84">
        <v>5681</v>
      </c>
      <c r="V7" s="84">
        <v>30793</v>
      </c>
      <c r="W7" s="84">
        <v>153837</v>
      </c>
      <c r="X7" s="84">
        <v>33857</v>
      </c>
      <c r="Y7" s="84">
        <v>76582</v>
      </c>
      <c r="Z7" s="84">
        <v>1824</v>
      </c>
      <c r="AA7" s="84">
        <v>3092</v>
      </c>
      <c r="AB7" s="84">
        <v>13</v>
      </c>
      <c r="AC7" s="84">
        <v>16</v>
      </c>
      <c r="AD7" s="84">
        <v>26040</v>
      </c>
      <c r="AE7" s="84">
        <v>42254</v>
      </c>
      <c r="AF7" s="84">
        <v>171</v>
      </c>
      <c r="AG7" s="84">
        <v>615</v>
      </c>
      <c r="AH7" s="74">
        <v>805</v>
      </c>
      <c r="AI7" s="84">
        <v>-2050</v>
      </c>
      <c r="AJ7" s="84">
        <v>13880</v>
      </c>
      <c r="AK7" s="84">
        <v>42684</v>
      </c>
      <c r="AL7" s="84">
        <v>9910</v>
      </c>
      <c r="AM7" s="84">
        <v>16468</v>
      </c>
      <c r="AN7" s="84">
        <v>-3499</v>
      </c>
      <c r="AO7" s="84">
        <v>-3448</v>
      </c>
      <c r="AP7" s="84">
        <v>45</v>
      </c>
      <c r="AQ7" s="84">
        <v>45</v>
      </c>
      <c r="AR7" s="84">
        <v>29829</v>
      </c>
      <c r="AS7" s="84">
        <v>56535</v>
      </c>
      <c r="AT7" s="84">
        <v>16194</v>
      </c>
      <c r="AU7" s="84">
        <v>51407</v>
      </c>
      <c r="AV7" s="84">
        <v>397</v>
      </c>
      <c r="AW7" s="84">
        <v>2747</v>
      </c>
      <c r="AX7" s="84">
        <v>166</v>
      </c>
      <c r="AY7" s="84">
        <v>1654</v>
      </c>
      <c r="AZ7" s="84">
        <v>1854</v>
      </c>
      <c r="BA7" s="84">
        <v>7057</v>
      </c>
      <c r="BB7" s="84">
        <v>7922</v>
      </c>
      <c r="BC7" s="84">
        <v>15287</v>
      </c>
      <c r="BD7" s="84">
        <v>13257</v>
      </c>
      <c r="BE7" s="84">
        <v>26914</v>
      </c>
      <c r="BF7" s="84">
        <v>3239</v>
      </c>
      <c r="BG7" s="84">
        <v>6507</v>
      </c>
      <c r="BH7" s="84">
        <v>3790</v>
      </c>
      <c r="BI7" s="84">
        <v>17041</v>
      </c>
      <c r="BJ7" s="84">
        <v>-709</v>
      </c>
      <c r="BK7" s="84">
        <v>-5859</v>
      </c>
      <c r="BL7" s="84">
        <v>20</v>
      </c>
      <c r="BM7" s="84">
        <v>236</v>
      </c>
      <c r="BN7" s="73">
        <f t="shared" si="0"/>
        <v>169739.28</v>
      </c>
      <c r="BO7" s="73">
        <f t="shared" si="1"/>
        <v>598771.69999999995</v>
      </c>
    </row>
    <row r="8" spans="1:67" x14ac:dyDescent="0.25">
      <c r="A8" s="21" t="s">
        <v>206</v>
      </c>
      <c r="B8" s="84">
        <v>12851</v>
      </c>
      <c r="C8" s="84">
        <v>39720</v>
      </c>
      <c r="D8" s="84">
        <v>30558</v>
      </c>
      <c r="E8" s="84">
        <v>84558</v>
      </c>
      <c r="F8" s="84">
        <v>19729</v>
      </c>
      <c r="G8" s="84">
        <v>57604</v>
      </c>
      <c r="H8" s="84">
        <v>84410</v>
      </c>
      <c r="I8" s="84">
        <v>274742</v>
      </c>
      <c r="J8" s="84">
        <v>75613</v>
      </c>
      <c r="K8" s="84">
        <v>194656</v>
      </c>
      <c r="L8" s="84">
        <v>34047</v>
      </c>
      <c r="M8" s="84">
        <v>99198</v>
      </c>
      <c r="N8" s="84">
        <v>61046.55</v>
      </c>
      <c r="O8" s="84">
        <v>184292</v>
      </c>
      <c r="P8" s="84">
        <v>15514</v>
      </c>
      <c r="Q8" s="84">
        <v>54790</v>
      </c>
      <c r="R8" s="84">
        <v>53293</v>
      </c>
      <c r="S8" s="84">
        <v>157392</v>
      </c>
      <c r="T8" s="84">
        <v>17131</v>
      </c>
      <c r="U8" s="84">
        <v>52353</v>
      </c>
      <c r="V8" s="84">
        <v>171686</v>
      </c>
      <c r="W8" s="84">
        <v>443600</v>
      </c>
      <c r="X8" s="84">
        <v>240482</v>
      </c>
      <c r="Y8" s="84">
        <v>679474</v>
      </c>
      <c r="Z8" s="84">
        <v>108921</v>
      </c>
      <c r="AA8" s="84">
        <v>334281</v>
      </c>
      <c r="AB8" s="84">
        <v>20424</v>
      </c>
      <c r="AC8" s="84">
        <v>63011</v>
      </c>
      <c r="AD8" s="84">
        <v>50182</v>
      </c>
      <c r="AE8" s="84">
        <v>145064</v>
      </c>
      <c r="AF8" s="84">
        <v>12282</v>
      </c>
      <c r="AG8" s="84">
        <v>40914</v>
      </c>
      <c r="AH8" s="74">
        <v>20483</v>
      </c>
      <c r="AI8" s="84">
        <v>61771</v>
      </c>
      <c r="AJ8" s="84">
        <v>32223</v>
      </c>
      <c r="AK8" s="84">
        <v>86025</v>
      </c>
      <c r="AL8" s="84">
        <v>248637</v>
      </c>
      <c r="AM8" s="84">
        <v>687122</v>
      </c>
      <c r="AN8" s="84">
        <v>20775</v>
      </c>
      <c r="AO8" s="84">
        <v>54734</v>
      </c>
      <c r="AP8" s="84">
        <v>5883</v>
      </c>
      <c r="AQ8" s="84">
        <v>14816</v>
      </c>
      <c r="AR8" s="84">
        <v>61664</v>
      </c>
      <c r="AS8" s="84">
        <v>197610</v>
      </c>
      <c r="AT8" s="84">
        <v>37698</v>
      </c>
      <c r="AU8" s="84">
        <v>110080</v>
      </c>
      <c r="AV8" s="84">
        <v>56678</v>
      </c>
      <c r="AW8" s="84">
        <v>146502</v>
      </c>
      <c r="AX8" s="84">
        <v>71451</v>
      </c>
      <c r="AY8" s="84">
        <v>217968</v>
      </c>
      <c r="AZ8" s="84">
        <v>22910</v>
      </c>
      <c r="BA8" s="84">
        <v>69314</v>
      </c>
      <c r="BB8" s="84">
        <v>153137</v>
      </c>
      <c r="BC8" s="84">
        <v>452073</v>
      </c>
      <c r="BD8" s="84">
        <v>1235275</v>
      </c>
      <c r="BE8" s="84">
        <v>2655471</v>
      </c>
      <c r="BF8" s="84">
        <v>394213</v>
      </c>
      <c r="BG8" s="84">
        <v>1082675</v>
      </c>
      <c r="BH8" s="84">
        <v>210318</v>
      </c>
      <c r="BI8" s="84">
        <v>591462</v>
      </c>
      <c r="BJ8" s="84">
        <v>295885</v>
      </c>
      <c r="BK8" s="84">
        <v>692056</v>
      </c>
      <c r="BL8" s="84">
        <v>72827</v>
      </c>
      <c r="BM8" s="84">
        <v>199075</v>
      </c>
      <c r="BN8" s="73">
        <f t="shared" si="0"/>
        <v>3948226.55</v>
      </c>
      <c r="BO8" s="73">
        <f t="shared" si="1"/>
        <v>10224403</v>
      </c>
    </row>
    <row r="9" spans="1:67" x14ac:dyDescent="0.25">
      <c r="A9" s="21" t="s">
        <v>207</v>
      </c>
      <c r="B9" s="84">
        <v>4695</v>
      </c>
      <c r="C9" s="84">
        <v>14499</v>
      </c>
      <c r="D9" s="84">
        <v>8469</v>
      </c>
      <c r="E9" s="84">
        <v>25559</v>
      </c>
      <c r="F9" s="84">
        <v>4713</v>
      </c>
      <c r="G9" s="84">
        <v>14211</v>
      </c>
      <c r="H9" s="84">
        <v>26347</v>
      </c>
      <c r="I9" s="84">
        <v>83671</v>
      </c>
      <c r="J9" s="84">
        <v>8576</v>
      </c>
      <c r="K9" s="84">
        <v>30125</v>
      </c>
      <c r="L9" s="84">
        <v>9100</v>
      </c>
      <c r="M9" s="84">
        <v>33291</v>
      </c>
      <c r="N9" s="84">
        <v>14441.82</v>
      </c>
      <c r="O9" s="84">
        <v>117257.32</v>
      </c>
      <c r="P9" s="84">
        <v>1865</v>
      </c>
      <c r="Q9" s="84">
        <v>2893</v>
      </c>
      <c r="R9" s="84">
        <v>85116</v>
      </c>
      <c r="S9" s="84">
        <v>288498</v>
      </c>
      <c r="T9" s="84"/>
      <c r="U9" s="84"/>
      <c r="V9" s="84">
        <v>45072</v>
      </c>
      <c r="W9" s="84">
        <v>145289</v>
      </c>
      <c r="X9" s="84">
        <v>129634</v>
      </c>
      <c r="Y9" s="84">
        <v>377937</v>
      </c>
      <c r="Z9" s="84">
        <v>40504</v>
      </c>
      <c r="AA9" s="84">
        <v>112224</v>
      </c>
      <c r="AB9" s="84">
        <v>4057</v>
      </c>
      <c r="AC9" s="84">
        <v>12711</v>
      </c>
      <c r="AD9" s="84">
        <v>38656</v>
      </c>
      <c r="AE9" s="84">
        <v>119868</v>
      </c>
      <c r="AF9" s="84">
        <v>959</v>
      </c>
      <c r="AG9" s="84">
        <v>4745</v>
      </c>
      <c r="AH9" s="74">
        <v>137</v>
      </c>
      <c r="AI9" s="84">
        <v>-1768</v>
      </c>
      <c r="AJ9" s="84">
        <v>34496</v>
      </c>
      <c r="AK9" s="84">
        <v>105417</v>
      </c>
      <c r="AL9" s="84">
        <v>16437</v>
      </c>
      <c r="AM9" s="84">
        <v>61187</v>
      </c>
      <c r="AN9" s="84">
        <v>6271</v>
      </c>
      <c r="AO9" s="84">
        <v>11040</v>
      </c>
      <c r="AP9" s="84">
        <v>8369</v>
      </c>
      <c r="AQ9" s="84">
        <v>26107</v>
      </c>
      <c r="AR9" s="84">
        <v>141500</v>
      </c>
      <c r="AS9" s="84">
        <v>448013</v>
      </c>
      <c r="AT9" s="84">
        <v>9186</v>
      </c>
      <c r="AU9" s="84">
        <v>23852</v>
      </c>
      <c r="AV9" s="84">
        <v>12155</v>
      </c>
      <c r="AW9" s="84">
        <v>38299</v>
      </c>
      <c r="AX9" s="84">
        <v>60837</v>
      </c>
      <c r="AY9" s="84">
        <v>187484</v>
      </c>
      <c r="AZ9" s="84">
        <v>4496</v>
      </c>
      <c r="BA9" s="84">
        <v>14043</v>
      </c>
      <c r="BB9" s="84">
        <v>45264</v>
      </c>
      <c r="BC9" s="84">
        <v>137591</v>
      </c>
      <c r="BD9" s="84">
        <v>5057</v>
      </c>
      <c r="BE9" s="84">
        <v>8196</v>
      </c>
      <c r="BF9" s="84">
        <v>205456</v>
      </c>
      <c r="BG9" s="84">
        <v>505495</v>
      </c>
      <c r="BH9" s="84">
        <v>65898</v>
      </c>
      <c r="BI9" s="84">
        <v>175780</v>
      </c>
      <c r="BJ9" s="84">
        <v>34595</v>
      </c>
      <c r="BK9" s="84">
        <v>92689</v>
      </c>
      <c r="BL9" s="84">
        <v>34158</v>
      </c>
      <c r="BM9" s="84">
        <v>107126</v>
      </c>
      <c r="BN9" s="73">
        <f t="shared" si="0"/>
        <v>1106516.82</v>
      </c>
      <c r="BO9" s="73">
        <f t="shared" si="1"/>
        <v>3323329.3200000003</v>
      </c>
    </row>
    <row r="10" spans="1:67" x14ac:dyDescent="0.25">
      <c r="A10" s="21" t="s">
        <v>208</v>
      </c>
      <c r="B10" s="84">
        <v>241</v>
      </c>
      <c r="C10" s="84">
        <v>524</v>
      </c>
      <c r="D10" s="84">
        <v>19516</v>
      </c>
      <c r="E10" s="84">
        <v>45207</v>
      </c>
      <c r="F10" s="84">
        <v>12058</v>
      </c>
      <c r="G10" s="84">
        <v>17512</v>
      </c>
      <c r="H10" s="84">
        <v>21494</v>
      </c>
      <c r="I10" s="84">
        <v>57479</v>
      </c>
      <c r="J10" s="84">
        <v>12723</v>
      </c>
      <c r="K10" s="84">
        <v>24643</v>
      </c>
      <c r="L10" s="84">
        <v>7594</v>
      </c>
      <c r="M10" s="84">
        <v>20615</v>
      </c>
      <c r="N10" s="84">
        <v>4687.28</v>
      </c>
      <c r="O10" s="84">
        <v>10721.33</v>
      </c>
      <c r="P10" s="84">
        <v>3473</v>
      </c>
      <c r="Q10" s="84">
        <v>11490</v>
      </c>
      <c r="R10" s="84">
        <v>13666</v>
      </c>
      <c r="S10" s="84">
        <v>34999</v>
      </c>
      <c r="T10" s="84">
        <v>1500</v>
      </c>
      <c r="U10" s="84">
        <v>3863</v>
      </c>
      <c r="V10" s="84">
        <v>29813</v>
      </c>
      <c r="W10" s="84">
        <v>76502</v>
      </c>
      <c r="X10" s="84">
        <v>29687</v>
      </c>
      <c r="Y10" s="84">
        <v>61532</v>
      </c>
      <c r="Z10" s="84">
        <v>16506</v>
      </c>
      <c r="AA10" s="84">
        <v>35919</v>
      </c>
      <c r="AB10" s="84">
        <v>2998</v>
      </c>
      <c r="AC10" s="84">
        <v>6743</v>
      </c>
      <c r="AD10" s="84">
        <v>9907</v>
      </c>
      <c r="AE10" s="84">
        <v>15252</v>
      </c>
      <c r="AF10" s="84">
        <v>3305</v>
      </c>
      <c r="AG10" s="84">
        <v>6913</v>
      </c>
      <c r="AH10" s="74">
        <v>5291</v>
      </c>
      <c r="AI10" s="84">
        <v>13277</v>
      </c>
      <c r="AJ10" s="84">
        <v>1607</v>
      </c>
      <c r="AK10" s="84">
        <v>4694</v>
      </c>
      <c r="AL10" s="84">
        <v>94468</v>
      </c>
      <c r="AM10" s="84">
        <v>206974</v>
      </c>
      <c r="AN10" s="84">
        <v>598</v>
      </c>
      <c r="AO10" s="84">
        <v>970</v>
      </c>
      <c r="AP10" s="84">
        <v>1603</v>
      </c>
      <c r="AQ10" s="84">
        <v>1924</v>
      </c>
      <c r="AR10" s="84">
        <v>10349</v>
      </c>
      <c r="AS10" s="84">
        <v>18419</v>
      </c>
      <c r="AT10" s="84">
        <v>7462</v>
      </c>
      <c r="AU10" s="84">
        <v>17145</v>
      </c>
      <c r="AV10" s="84">
        <v>15227</v>
      </c>
      <c r="AW10" s="84">
        <v>22967</v>
      </c>
      <c r="AX10" s="84">
        <v>38953</v>
      </c>
      <c r="AY10" s="84">
        <v>99623</v>
      </c>
      <c r="AZ10" s="84">
        <v>3974</v>
      </c>
      <c r="BA10" s="84">
        <v>32570</v>
      </c>
      <c r="BB10" s="84">
        <v>49469</v>
      </c>
      <c r="BC10" s="84">
        <v>90990</v>
      </c>
      <c r="BD10" s="84">
        <v>23331</v>
      </c>
      <c r="BE10" s="84">
        <v>46981</v>
      </c>
      <c r="BF10" s="84">
        <v>78950</v>
      </c>
      <c r="BG10" s="84">
        <v>212527</v>
      </c>
      <c r="BH10" s="84">
        <v>48510</v>
      </c>
      <c r="BI10" s="84">
        <v>115964</v>
      </c>
      <c r="BJ10" s="84">
        <v>41661</v>
      </c>
      <c r="BK10" s="84">
        <v>96532</v>
      </c>
      <c r="BL10" s="84">
        <v>4887</v>
      </c>
      <c r="BM10" s="84">
        <v>13099</v>
      </c>
      <c r="BN10" s="73">
        <f t="shared" si="0"/>
        <v>615508.28</v>
      </c>
      <c r="BO10" s="73">
        <f t="shared" si="1"/>
        <v>1424570.33</v>
      </c>
    </row>
    <row r="11" spans="1:67" x14ac:dyDescent="0.25">
      <c r="A11" s="21" t="s">
        <v>209</v>
      </c>
      <c r="B11" s="84">
        <v>1999</v>
      </c>
      <c r="C11" s="84">
        <v>5300</v>
      </c>
      <c r="D11" s="84">
        <v>16966</v>
      </c>
      <c r="E11" s="84">
        <v>39207</v>
      </c>
      <c r="F11" s="84">
        <v>6428</v>
      </c>
      <c r="G11" s="84">
        <v>9210</v>
      </c>
      <c r="H11" s="84">
        <v>42544</v>
      </c>
      <c r="I11" s="84">
        <v>110659</v>
      </c>
      <c r="J11" s="84">
        <v>74558</v>
      </c>
      <c r="K11" s="84">
        <v>175896</v>
      </c>
      <c r="L11" s="84">
        <v>16163</v>
      </c>
      <c r="M11" s="84">
        <v>43404</v>
      </c>
      <c r="N11" s="84">
        <v>2258.0300000000002</v>
      </c>
      <c r="O11" s="84">
        <v>7134.38</v>
      </c>
      <c r="P11" s="84">
        <v>840</v>
      </c>
      <c r="Q11" s="84">
        <v>1454</v>
      </c>
      <c r="R11" s="84">
        <v>19603</v>
      </c>
      <c r="S11" s="84">
        <v>48408</v>
      </c>
      <c r="T11" s="84">
        <v>4193</v>
      </c>
      <c r="U11" s="84">
        <v>14772</v>
      </c>
      <c r="V11" s="84">
        <v>36274</v>
      </c>
      <c r="W11" s="84">
        <v>88367</v>
      </c>
      <c r="X11" s="84">
        <v>96702</v>
      </c>
      <c r="Y11" s="84">
        <v>297660</v>
      </c>
      <c r="Z11" s="84">
        <v>21217</v>
      </c>
      <c r="AA11" s="84">
        <v>49361</v>
      </c>
      <c r="AB11" s="84">
        <v>4209</v>
      </c>
      <c r="AC11" s="84">
        <v>9382</v>
      </c>
      <c r="AD11" s="84">
        <v>55996</v>
      </c>
      <c r="AE11" s="84">
        <v>146422</v>
      </c>
      <c r="AF11" s="84">
        <v>5281</v>
      </c>
      <c r="AG11" s="84">
        <v>10091</v>
      </c>
      <c r="AH11" s="74">
        <v>16110</v>
      </c>
      <c r="AI11" s="84">
        <v>43323</v>
      </c>
      <c r="AJ11" s="84">
        <v>24905</v>
      </c>
      <c r="AK11" s="84">
        <v>86554</v>
      </c>
      <c r="AL11" s="84">
        <v>112107</v>
      </c>
      <c r="AM11" s="84">
        <v>250654</v>
      </c>
      <c r="AN11" s="84">
        <v>1769</v>
      </c>
      <c r="AO11" s="84">
        <v>5509</v>
      </c>
      <c r="AP11" s="84">
        <v>3226</v>
      </c>
      <c r="AQ11" s="84">
        <v>9288</v>
      </c>
      <c r="AR11" s="84">
        <v>38758</v>
      </c>
      <c r="AS11" s="84">
        <v>112042</v>
      </c>
      <c r="AT11" s="84">
        <v>33029</v>
      </c>
      <c r="AU11" s="84">
        <v>73916</v>
      </c>
      <c r="AV11" s="84">
        <v>21930</v>
      </c>
      <c r="AW11" s="84">
        <v>48923</v>
      </c>
      <c r="AX11" s="84">
        <v>43350</v>
      </c>
      <c r="AY11" s="84">
        <v>124976</v>
      </c>
      <c r="AZ11" s="84">
        <v>9117</v>
      </c>
      <c r="BA11" s="84">
        <v>30187</v>
      </c>
      <c r="BB11" s="84">
        <v>67499</v>
      </c>
      <c r="BC11" s="84">
        <v>139935</v>
      </c>
      <c r="BD11" s="84">
        <v>67822</v>
      </c>
      <c r="BE11" s="84">
        <v>168187</v>
      </c>
      <c r="BF11" s="84">
        <v>56485</v>
      </c>
      <c r="BG11" s="84">
        <v>146921</v>
      </c>
      <c r="BH11" s="84">
        <v>36151</v>
      </c>
      <c r="BI11" s="84">
        <v>89098</v>
      </c>
      <c r="BJ11" s="84">
        <v>85847</v>
      </c>
      <c r="BK11" s="84">
        <v>237312</v>
      </c>
      <c r="BL11" s="84">
        <v>19532</v>
      </c>
      <c r="BM11" s="84">
        <v>36105</v>
      </c>
      <c r="BN11" s="73">
        <f t="shared" si="0"/>
        <v>1042868.03</v>
      </c>
      <c r="BO11" s="73">
        <f t="shared" si="1"/>
        <v>2659657.38</v>
      </c>
    </row>
    <row r="12" spans="1:67" x14ac:dyDescent="0.25">
      <c r="A12" s="21" t="s">
        <v>210</v>
      </c>
      <c r="B12" s="84">
        <v>19419</v>
      </c>
      <c r="C12" s="84">
        <v>58801</v>
      </c>
      <c r="D12" s="84">
        <v>16773</v>
      </c>
      <c r="E12" s="84">
        <v>74720</v>
      </c>
      <c r="F12" s="84">
        <v>5724</v>
      </c>
      <c r="G12" s="84">
        <v>12560</v>
      </c>
      <c r="H12" s="84">
        <v>32752</v>
      </c>
      <c r="I12" s="84">
        <v>92073</v>
      </c>
      <c r="J12" s="84">
        <v>82873</v>
      </c>
      <c r="K12" s="84">
        <v>247344</v>
      </c>
      <c r="L12" s="84">
        <v>15946</v>
      </c>
      <c r="M12" s="84">
        <v>43453</v>
      </c>
      <c r="N12" s="84">
        <v>26348.91</v>
      </c>
      <c r="O12" s="84">
        <v>43971.92</v>
      </c>
      <c r="P12" s="84">
        <v>10342</v>
      </c>
      <c r="Q12" s="84">
        <v>64576</v>
      </c>
      <c r="R12" s="84">
        <v>62018</v>
      </c>
      <c r="S12" s="84">
        <v>248062</v>
      </c>
      <c r="T12" s="84">
        <v>485921</v>
      </c>
      <c r="U12" s="84">
        <v>1038213</v>
      </c>
      <c r="V12" s="84">
        <v>1402410</v>
      </c>
      <c r="W12" s="84">
        <v>3583334</v>
      </c>
      <c r="X12" s="84">
        <v>410831</v>
      </c>
      <c r="Y12" s="84">
        <v>1261014</v>
      </c>
      <c r="Z12" s="84">
        <v>209355</v>
      </c>
      <c r="AA12" s="84">
        <v>546709</v>
      </c>
      <c r="AB12" s="84">
        <v>15966</v>
      </c>
      <c r="AC12" s="84">
        <v>48285</v>
      </c>
      <c r="AD12" s="84">
        <v>92155</v>
      </c>
      <c r="AE12" s="84">
        <v>264638</v>
      </c>
      <c r="AF12" s="84">
        <v>8110</v>
      </c>
      <c r="AG12" s="84">
        <v>29261</v>
      </c>
      <c r="AH12" s="74">
        <v>98752</v>
      </c>
      <c r="AI12" s="84">
        <v>339959</v>
      </c>
      <c r="AJ12" s="84">
        <v>220319</v>
      </c>
      <c r="AK12" s="84">
        <v>423229</v>
      </c>
      <c r="AL12" s="84">
        <v>90416</v>
      </c>
      <c r="AM12" s="84">
        <v>144880</v>
      </c>
      <c r="AN12" s="84">
        <v>33062</v>
      </c>
      <c r="AO12" s="84">
        <v>119412</v>
      </c>
      <c r="AP12" s="84">
        <v>16447</v>
      </c>
      <c r="AQ12" s="84">
        <v>50697</v>
      </c>
      <c r="AR12" s="84">
        <v>8373</v>
      </c>
      <c r="AS12" s="84">
        <v>60921</v>
      </c>
      <c r="AT12" s="84">
        <v>237043</v>
      </c>
      <c r="AU12" s="84">
        <v>551482</v>
      </c>
      <c r="AV12" s="84">
        <v>3137</v>
      </c>
      <c r="AW12" s="84">
        <v>9082</v>
      </c>
      <c r="AX12" s="84">
        <v>194516</v>
      </c>
      <c r="AY12" s="84">
        <v>579062</v>
      </c>
      <c r="AZ12" s="84">
        <v>59631</v>
      </c>
      <c r="BA12" s="84">
        <v>175783</v>
      </c>
      <c r="BB12" s="84">
        <v>198268</v>
      </c>
      <c r="BC12" s="84">
        <v>475177</v>
      </c>
      <c r="BD12" s="84">
        <v>1275505</v>
      </c>
      <c r="BE12" s="84">
        <v>3020951</v>
      </c>
      <c r="BF12" s="84">
        <v>158141</v>
      </c>
      <c r="BG12" s="84">
        <v>392988</v>
      </c>
      <c r="BH12" s="84">
        <v>26010</v>
      </c>
      <c r="BI12" s="84">
        <v>55263</v>
      </c>
      <c r="BJ12" s="84">
        <v>34915</v>
      </c>
      <c r="BK12" s="84">
        <v>78647</v>
      </c>
      <c r="BL12" s="84">
        <v>29157</v>
      </c>
      <c r="BM12" s="84">
        <v>89473</v>
      </c>
      <c r="BN12" s="73">
        <f t="shared" si="0"/>
        <v>5580635.9100000001</v>
      </c>
      <c r="BO12" s="73">
        <f t="shared" si="1"/>
        <v>14224020.92</v>
      </c>
    </row>
    <row r="13" spans="1:67" x14ac:dyDescent="0.25">
      <c r="A13" s="21" t="s">
        <v>211</v>
      </c>
      <c r="B13" s="84">
        <v>510530</v>
      </c>
      <c r="C13" s="84">
        <v>840443</v>
      </c>
      <c r="D13" s="84">
        <v>567560</v>
      </c>
      <c r="E13" s="84">
        <v>1417384</v>
      </c>
      <c r="F13" s="84">
        <v>95034</v>
      </c>
      <c r="G13" s="84">
        <v>409114</v>
      </c>
      <c r="H13" s="84">
        <v>153565</v>
      </c>
      <c r="I13" s="84">
        <v>483753</v>
      </c>
      <c r="J13" s="84">
        <v>1122866</v>
      </c>
      <c r="K13" s="84">
        <v>2418795</v>
      </c>
      <c r="L13" s="84">
        <v>694276</v>
      </c>
      <c r="M13" s="84">
        <v>1540722</v>
      </c>
      <c r="N13" s="84">
        <v>21365.599999999999</v>
      </c>
      <c r="O13" s="84">
        <v>25512.65</v>
      </c>
      <c r="P13" s="84">
        <v>38648</v>
      </c>
      <c r="Q13" s="84">
        <v>153903</v>
      </c>
      <c r="R13" s="84">
        <v>580624</v>
      </c>
      <c r="S13" s="84">
        <v>1363233</v>
      </c>
      <c r="T13" s="84">
        <v>1041467</v>
      </c>
      <c r="U13" s="84">
        <v>2200483</v>
      </c>
      <c r="V13" s="84">
        <v>1633038</v>
      </c>
      <c r="W13" s="84">
        <v>3702256</v>
      </c>
      <c r="X13" s="84">
        <v>768342</v>
      </c>
      <c r="Y13" s="84">
        <v>1192140</v>
      </c>
      <c r="Z13" s="84">
        <v>379227</v>
      </c>
      <c r="AA13" s="84">
        <v>764607</v>
      </c>
      <c r="AB13" s="84">
        <v>105809</v>
      </c>
      <c r="AC13" s="84">
        <v>262025</v>
      </c>
      <c r="AD13" s="84">
        <v>490792</v>
      </c>
      <c r="AE13" s="84">
        <v>946195</v>
      </c>
      <c r="AF13" s="84">
        <v>618830</v>
      </c>
      <c r="AG13" s="84">
        <v>1431466</v>
      </c>
      <c r="AH13" s="74">
        <v>339929</v>
      </c>
      <c r="AI13" s="84">
        <v>565844</v>
      </c>
      <c r="AJ13" s="84">
        <v>319100</v>
      </c>
      <c r="AK13" s="84">
        <v>933688</v>
      </c>
      <c r="AL13" s="84">
        <v>12694</v>
      </c>
      <c r="AM13" s="84">
        <v>47236</v>
      </c>
      <c r="AN13" s="84">
        <v>38028</v>
      </c>
      <c r="AO13" s="84">
        <v>73356</v>
      </c>
      <c r="AP13" s="84">
        <v>180685</v>
      </c>
      <c r="AQ13" s="84">
        <v>324018</v>
      </c>
      <c r="AR13" s="84">
        <v>2357549</v>
      </c>
      <c r="AS13" s="84">
        <v>6164512</v>
      </c>
      <c r="AT13" s="84">
        <v>285300</v>
      </c>
      <c r="AU13" s="84">
        <v>892710</v>
      </c>
      <c r="AV13" s="84">
        <v>165439</v>
      </c>
      <c r="AW13" s="84">
        <v>382292</v>
      </c>
      <c r="AX13" s="84">
        <v>315438</v>
      </c>
      <c r="AY13" s="84">
        <v>580785</v>
      </c>
      <c r="AZ13" s="84">
        <v>-92</v>
      </c>
      <c r="BA13" s="84">
        <v>427</v>
      </c>
      <c r="BB13" s="84">
        <v>393538</v>
      </c>
      <c r="BC13" s="84">
        <v>831239</v>
      </c>
      <c r="BD13" s="84">
        <v>691712</v>
      </c>
      <c r="BE13" s="84">
        <v>1588592</v>
      </c>
      <c r="BF13" s="84">
        <v>117036</v>
      </c>
      <c r="BG13" s="84">
        <v>327638</v>
      </c>
      <c r="BH13" s="84">
        <v>-24973</v>
      </c>
      <c r="BI13" s="84">
        <v>26527</v>
      </c>
      <c r="BJ13" s="84">
        <v>22057</v>
      </c>
      <c r="BK13" s="84">
        <v>37011</v>
      </c>
      <c r="BL13" s="84">
        <v>9113</v>
      </c>
      <c r="BM13" s="84">
        <v>32986</v>
      </c>
      <c r="BN13" s="73">
        <f t="shared" si="0"/>
        <v>14044526.6</v>
      </c>
      <c r="BO13" s="73">
        <f t="shared" si="1"/>
        <v>31960892.649999999</v>
      </c>
    </row>
    <row r="14" spans="1:67" x14ac:dyDescent="0.25">
      <c r="A14" s="21" t="s">
        <v>212</v>
      </c>
      <c r="B14" s="84">
        <v>7923</v>
      </c>
      <c r="C14" s="84">
        <v>17282</v>
      </c>
      <c r="D14" s="84">
        <v>5394</v>
      </c>
      <c r="E14" s="84">
        <v>16697</v>
      </c>
      <c r="F14" s="84">
        <v>531</v>
      </c>
      <c r="G14" s="84">
        <v>5590</v>
      </c>
      <c r="H14" s="84">
        <v>65016</v>
      </c>
      <c r="I14" s="84">
        <v>178267</v>
      </c>
      <c r="J14" s="84">
        <v>26308</v>
      </c>
      <c r="K14" s="84">
        <v>60899</v>
      </c>
      <c r="L14" s="84">
        <v>31355</v>
      </c>
      <c r="M14" s="84">
        <v>81828</v>
      </c>
      <c r="N14" s="84">
        <v>94.21</v>
      </c>
      <c r="O14" s="84">
        <v>257.3</v>
      </c>
      <c r="P14" s="84">
        <v>1150</v>
      </c>
      <c r="Q14" s="84">
        <v>1154</v>
      </c>
      <c r="R14" s="84">
        <v>9854</v>
      </c>
      <c r="S14" s="84">
        <v>29832</v>
      </c>
      <c r="T14" s="84">
        <v>22770</v>
      </c>
      <c r="U14" s="84">
        <v>48708</v>
      </c>
      <c r="V14" s="84">
        <v>117743</v>
      </c>
      <c r="W14" s="84">
        <v>334302</v>
      </c>
      <c r="X14" s="84">
        <v>130887</v>
      </c>
      <c r="Y14" s="84">
        <v>322439</v>
      </c>
      <c r="Z14" s="84">
        <v>42190</v>
      </c>
      <c r="AA14" s="84">
        <v>133305</v>
      </c>
      <c r="AB14" s="84">
        <v>2591</v>
      </c>
      <c r="AC14" s="84">
        <v>12539</v>
      </c>
      <c r="AD14" s="84">
        <v>9938</v>
      </c>
      <c r="AE14" s="84">
        <v>20039</v>
      </c>
      <c r="AF14" s="84">
        <v>15865</v>
      </c>
      <c r="AG14" s="84">
        <v>40607</v>
      </c>
      <c r="AH14" s="74">
        <v>7145</v>
      </c>
      <c r="AI14" s="84">
        <v>24363</v>
      </c>
      <c r="AJ14" s="84">
        <v>18781</v>
      </c>
      <c r="AK14" s="84">
        <v>45844</v>
      </c>
      <c r="AL14" s="84">
        <v>19092</v>
      </c>
      <c r="AM14" s="84">
        <v>19944</v>
      </c>
      <c r="AN14" s="84">
        <v>900</v>
      </c>
      <c r="AO14" s="84">
        <v>3573</v>
      </c>
      <c r="AP14" s="84">
        <v>2367</v>
      </c>
      <c r="AQ14" s="84">
        <v>4861</v>
      </c>
      <c r="AR14" s="84">
        <v>38270</v>
      </c>
      <c r="AS14" s="84">
        <v>106636</v>
      </c>
      <c r="AT14" s="84">
        <v>20389</v>
      </c>
      <c r="AU14" s="84">
        <v>54400</v>
      </c>
      <c r="AV14" s="84">
        <v>18510</v>
      </c>
      <c r="AW14" s="84">
        <v>46746</v>
      </c>
      <c r="AX14" s="84">
        <v>17360</v>
      </c>
      <c r="AY14" s="84">
        <v>36185</v>
      </c>
      <c r="AZ14" s="84">
        <v>25906</v>
      </c>
      <c r="BA14" s="84">
        <v>77506</v>
      </c>
      <c r="BB14" s="84">
        <v>5730</v>
      </c>
      <c r="BC14" s="84">
        <v>14812</v>
      </c>
      <c r="BD14" s="84">
        <v>66342</v>
      </c>
      <c r="BE14" s="84">
        <v>159748</v>
      </c>
      <c r="BF14" s="84">
        <v>39667</v>
      </c>
      <c r="BG14" s="84">
        <v>88125</v>
      </c>
      <c r="BH14" s="84">
        <v>-2179</v>
      </c>
      <c r="BI14" s="84">
        <v>44051</v>
      </c>
      <c r="BJ14" s="84">
        <v>72105</v>
      </c>
      <c r="BK14" s="84">
        <v>186783</v>
      </c>
      <c r="BL14" s="84">
        <v>8053</v>
      </c>
      <c r="BM14" s="84">
        <v>19683</v>
      </c>
      <c r="BN14" s="73">
        <f t="shared" si="0"/>
        <v>848047.21</v>
      </c>
      <c r="BO14" s="73">
        <f t="shared" si="1"/>
        <v>2237005.2999999998</v>
      </c>
    </row>
    <row r="15" spans="1:67" x14ac:dyDescent="0.25">
      <c r="A15" s="22" t="s">
        <v>32</v>
      </c>
      <c r="B15" s="84">
        <f>B18-B17-B16-B14-B13-B12-B11-B10-B9-B8-B7-B6-B5</f>
        <v>105609</v>
      </c>
      <c r="C15" s="84">
        <f t="shared" ref="C15:BL15" si="2">C18-C17-C16-C14-C13-C12-C11-C10-C9-C8-C7-C6-C5</f>
        <v>236538</v>
      </c>
      <c r="D15" s="84">
        <f t="shared" si="2"/>
        <v>94015</v>
      </c>
      <c r="E15" s="84">
        <f t="shared" si="2"/>
        <v>344930</v>
      </c>
      <c r="F15" s="84">
        <f t="shared" si="2"/>
        <v>-54047</v>
      </c>
      <c r="G15" s="84">
        <f t="shared" si="2"/>
        <v>563099</v>
      </c>
      <c r="H15" s="84">
        <f t="shared" si="2"/>
        <v>2891483</v>
      </c>
      <c r="I15" s="84">
        <f t="shared" si="2"/>
        <v>7232753</v>
      </c>
      <c r="J15" s="84">
        <f t="shared" si="2"/>
        <v>185879</v>
      </c>
      <c r="K15" s="84">
        <f t="shared" si="2"/>
        <v>544055</v>
      </c>
      <c r="L15" s="84">
        <f t="shared" si="2"/>
        <v>1688693</v>
      </c>
      <c r="M15" s="84">
        <f t="shared" si="2"/>
        <v>4768041</v>
      </c>
      <c r="N15" s="84">
        <f t="shared" si="2"/>
        <v>35575.289999999979</v>
      </c>
      <c r="O15" s="84">
        <f t="shared" si="2"/>
        <v>127047.29000000004</v>
      </c>
      <c r="P15" s="84">
        <f t="shared" si="2"/>
        <v>18424</v>
      </c>
      <c r="Q15" s="84">
        <f t="shared" si="2"/>
        <v>69982</v>
      </c>
      <c r="R15" s="84">
        <f t="shared" si="2"/>
        <v>918466</v>
      </c>
      <c r="S15" s="84">
        <f t="shared" si="2"/>
        <v>1853698</v>
      </c>
      <c r="T15" s="84">
        <f t="shared" si="2"/>
        <v>313155</v>
      </c>
      <c r="U15" s="84">
        <f t="shared" si="2"/>
        <v>827712</v>
      </c>
      <c r="V15" s="84">
        <f t="shared" si="2"/>
        <v>506671</v>
      </c>
      <c r="W15" s="84">
        <f t="shared" si="2"/>
        <v>971478</v>
      </c>
      <c r="X15" s="84">
        <f t="shared" si="2"/>
        <v>4139990</v>
      </c>
      <c r="Y15" s="84">
        <f t="shared" si="2"/>
        <v>9275366</v>
      </c>
      <c r="Z15" s="84">
        <f t="shared" si="2"/>
        <v>153449</v>
      </c>
      <c r="AA15" s="84">
        <f t="shared" si="2"/>
        <v>402550</v>
      </c>
      <c r="AB15" s="84">
        <f t="shared" si="2"/>
        <v>57712</v>
      </c>
      <c r="AC15" s="84">
        <f t="shared" si="2"/>
        <v>152853</v>
      </c>
      <c r="AD15" s="84">
        <f t="shared" si="2"/>
        <v>272299</v>
      </c>
      <c r="AE15" s="84">
        <f t="shared" si="2"/>
        <v>710373</v>
      </c>
      <c r="AF15" s="84">
        <f t="shared" si="2"/>
        <v>78105</v>
      </c>
      <c r="AG15" s="84">
        <f t="shared" si="2"/>
        <v>220850</v>
      </c>
      <c r="AH15" s="84">
        <f t="shared" si="2"/>
        <v>52977</v>
      </c>
      <c r="AI15" s="84">
        <f t="shared" si="2"/>
        <v>230912</v>
      </c>
      <c r="AJ15" s="84">
        <f t="shared" si="2"/>
        <v>4991</v>
      </c>
      <c r="AK15" s="84">
        <f t="shared" si="2"/>
        <v>14647</v>
      </c>
      <c r="AL15" s="84">
        <f t="shared" si="2"/>
        <v>799949</v>
      </c>
      <c r="AM15" s="84">
        <f t="shared" si="2"/>
        <v>2147019</v>
      </c>
      <c r="AN15" s="84">
        <f t="shared" si="2"/>
        <v>33282</v>
      </c>
      <c r="AO15" s="84">
        <f t="shared" si="2"/>
        <v>66793</v>
      </c>
      <c r="AP15" s="84">
        <f t="shared" si="2"/>
        <v>11262</v>
      </c>
      <c r="AQ15" s="84">
        <f t="shared" si="2"/>
        <v>19952</v>
      </c>
      <c r="AR15" s="84">
        <f t="shared" si="2"/>
        <v>198143</v>
      </c>
      <c r="AS15" s="84">
        <f t="shared" si="2"/>
        <v>668656</v>
      </c>
      <c r="AT15" s="84">
        <f t="shared" si="2"/>
        <v>35520</v>
      </c>
      <c r="AU15" s="84">
        <f t="shared" si="2"/>
        <v>107766</v>
      </c>
      <c r="AV15" s="84">
        <f t="shared" si="2"/>
        <v>676626</v>
      </c>
      <c r="AW15" s="84">
        <f t="shared" si="2"/>
        <v>1345968</v>
      </c>
      <c r="AX15" s="84">
        <f t="shared" si="2"/>
        <v>720944</v>
      </c>
      <c r="AY15" s="84">
        <f t="shared" si="2"/>
        <v>1806351</v>
      </c>
      <c r="AZ15" s="84">
        <f t="shared" si="2"/>
        <v>718319</v>
      </c>
      <c r="BA15" s="84">
        <f t="shared" si="2"/>
        <v>1629786</v>
      </c>
      <c r="BB15" s="84">
        <f t="shared" si="2"/>
        <v>-364040</v>
      </c>
      <c r="BC15" s="84">
        <f t="shared" si="2"/>
        <v>-996684</v>
      </c>
      <c r="BD15" s="84">
        <f t="shared" si="2"/>
        <v>199146</v>
      </c>
      <c r="BE15" s="84">
        <f t="shared" si="2"/>
        <v>732565</v>
      </c>
      <c r="BF15" s="84">
        <f t="shared" si="2"/>
        <v>982271</v>
      </c>
      <c r="BG15" s="84">
        <f t="shared" si="2"/>
        <v>4737151</v>
      </c>
      <c r="BH15" s="84">
        <f t="shared" si="2"/>
        <v>193231</v>
      </c>
      <c r="BI15" s="84">
        <f t="shared" si="2"/>
        <v>631001</v>
      </c>
      <c r="BJ15" s="84">
        <f t="shared" si="2"/>
        <v>1062683</v>
      </c>
      <c r="BK15" s="84">
        <f t="shared" si="2"/>
        <v>2512925</v>
      </c>
      <c r="BL15" s="84">
        <f t="shared" si="2"/>
        <v>65041</v>
      </c>
      <c r="BM15" s="84">
        <f t="shared" ref="BM15" si="3">BM18-BM17-BM16-BM14-BM13-BM12-BM11-BM10-BM9-BM8-BM7-BM6-BM5</f>
        <v>160977</v>
      </c>
      <c r="BN15" s="73">
        <f t="shared" si="0"/>
        <v>16795823.289999999</v>
      </c>
      <c r="BO15" s="73">
        <f t="shared" si="1"/>
        <v>44117110.289999999</v>
      </c>
    </row>
    <row r="16" spans="1:67" x14ac:dyDescent="0.25">
      <c r="A16" s="21" t="s">
        <v>213</v>
      </c>
      <c r="B16" s="84">
        <v>9319</v>
      </c>
      <c r="C16" s="84">
        <v>28229</v>
      </c>
      <c r="D16" s="84">
        <v>65187</v>
      </c>
      <c r="E16" s="84">
        <v>185726</v>
      </c>
      <c r="F16" s="84">
        <v>168778</v>
      </c>
      <c r="G16" s="84">
        <v>486662</v>
      </c>
      <c r="H16" s="84">
        <v>127436</v>
      </c>
      <c r="I16" s="84">
        <v>374694</v>
      </c>
      <c r="J16" s="84">
        <v>28949</v>
      </c>
      <c r="K16" s="84">
        <v>79165</v>
      </c>
      <c r="L16" s="84">
        <v>55245</v>
      </c>
      <c r="M16" s="84">
        <v>159251</v>
      </c>
      <c r="N16" s="84">
        <v>12961.64</v>
      </c>
      <c r="O16" s="84">
        <v>35668.370000000003</v>
      </c>
      <c r="P16" s="84">
        <v>17341</v>
      </c>
      <c r="Q16" s="84">
        <v>35847</v>
      </c>
      <c r="R16" s="84">
        <v>30765</v>
      </c>
      <c r="S16" s="84">
        <v>88298</v>
      </c>
      <c r="T16" s="84">
        <v>24861</v>
      </c>
      <c r="U16" s="84">
        <v>66016</v>
      </c>
      <c r="V16" s="84">
        <v>147466</v>
      </c>
      <c r="W16" s="84">
        <v>436603</v>
      </c>
      <c r="X16" s="84">
        <v>333211</v>
      </c>
      <c r="Y16" s="84">
        <v>974983</v>
      </c>
      <c r="Z16" s="84">
        <v>72413</v>
      </c>
      <c r="AA16" s="84">
        <v>199788</v>
      </c>
      <c r="AB16" s="84">
        <v>11847</v>
      </c>
      <c r="AC16" s="84">
        <v>33646</v>
      </c>
      <c r="AD16" s="84">
        <v>65428</v>
      </c>
      <c r="AE16" s="84">
        <v>183600</v>
      </c>
      <c r="AF16" s="84">
        <v>17060</v>
      </c>
      <c r="AG16" s="84">
        <v>50170</v>
      </c>
      <c r="AH16" s="74">
        <v>18516</v>
      </c>
      <c r="AI16" s="84">
        <v>73588</v>
      </c>
      <c r="AJ16" s="84">
        <v>73528</v>
      </c>
      <c r="AK16" s="84">
        <v>195073</v>
      </c>
      <c r="AL16" s="84">
        <v>166191</v>
      </c>
      <c r="AM16" s="84">
        <v>467691</v>
      </c>
      <c r="AN16" s="84">
        <v>23389</v>
      </c>
      <c r="AO16" s="84">
        <v>89932</v>
      </c>
      <c r="AP16" s="84">
        <v>4799</v>
      </c>
      <c r="AQ16" s="84">
        <v>13194</v>
      </c>
      <c r="AR16" s="84"/>
      <c r="AS16" s="84"/>
      <c r="AT16" s="84">
        <v>50168</v>
      </c>
      <c r="AU16" s="84">
        <v>147723</v>
      </c>
      <c r="AV16" s="84"/>
      <c r="AW16" s="84"/>
      <c r="AX16" s="84">
        <v>164870</v>
      </c>
      <c r="AY16" s="84">
        <v>458804</v>
      </c>
      <c r="AZ16" s="84">
        <v>11452</v>
      </c>
      <c r="BA16" s="84">
        <v>35820</v>
      </c>
      <c r="BB16" s="84">
        <v>80399</v>
      </c>
      <c r="BC16" s="84">
        <v>378407</v>
      </c>
      <c r="BD16" s="84">
        <v>104194</v>
      </c>
      <c r="BE16" s="84">
        <v>391549</v>
      </c>
      <c r="BF16" s="84">
        <v>252469</v>
      </c>
      <c r="BG16" s="84">
        <v>740525</v>
      </c>
      <c r="BH16" s="84">
        <v>154265</v>
      </c>
      <c r="BI16" s="84">
        <v>457500</v>
      </c>
      <c r="BJ16" s="84">
        <v>96641</v>
      </c>
      <c r="BK16" s="84">
        <v>304660</v>
      </c>
      <c r="BL16" s="84">
        <v>31733</v>
      </c>
      <c r="BM16" s="84">
        <v>96749</v>
      </c>
      <c r="BN16" s="73">
        <f t="shared" si="0"/>
        <v>2420881.64</v>
      </c>
      <c r="BO16" s="73">
        <f t="shared" si="1"/>
        <v>7269561.3700000001</v>
      </c>
    </row>
    <row r="17" spans="1:67" x14ac:dyDescent="0.25">
      <c r="A17" s="21" t="s">
        <v>214</v>
      </c>
      <c r="B17" s="84">
        <v>-1</v>
      </c>
      <c r="C17" s="84">
        <v>166</v>
      </c>
      <c r="D17" s="84"/>
      <c r="E17" s="84"/>
      <c r="F17" s="84"/>
      <c r="G17" s="84"/>
      <c r="H17" s="84">
        <v>36729</v>
      </c>
      <c r="I17" s="84">
        <v>135715</v>
      </c>
      <c r="J17" s="84">
        <v>34961</v>
      </c>
      <c r="K17" s="84">
        <v>62571</v>
      </c>
      <c r="L17" s="84"/>
      <c r="M17" s="84"/>
      <c r="N17" s="84"/>
      <c r="O17" s="84"/>
      <c r="P17" s="84">
        <v>1370</v>
      </c>
      <c r="Q17" s="84">
        <v>1380</v>
      </c>
      <c r="R17" s="84">
        <v>12746</v>
      </c>
      <c r="S17" s="84">
        <v>39818</v>
      </c>
      <c r="T17" s="84">
        <v>302</v>
      </c>
      <c r="U17" s="84">
        <v>2330</v>
      </c>
      <c r="V17" s="84"/>
      <c r="W17" s="84"/>
      <c r="X17" s="84"/>
      <c r="Y17" s="84"/>
      <c r="Z17" s="84">
        <v>10019</v>
      </c>
      <c r="AA17" s="84">
        <v>32357</v>
      </c>
      <c r="AB17" s="84"/>
      <c r="AC17" s="84"/>
      <c r="AD17" s="84"/>
      <c r="AE17" s="84"/>
      <c r="AF17" s="84"/>
      <c r="AG17" s="84"/>
      <c r="AH17" s="10"/>
      <c r="AI17" s="84"/>
      <c r="AJ17" s="84">
        <v>2762</v>
      </c>
      <c r="AK17" s="84">
        <v>2771</v>
      </c>
      <c r="AL17" s="84">
        <v>3248</v>
      </c>
      <c r="AM17" s="84">
        <v>8994</v>
      </c>
      <c r="AN17" s="84">
        <v>1093</v>
      </c>
      <c r="AO17" s="84">
        <v>1789</v>
      </c>
      <c r="AP17" s="84"/>
      <c r="AQ17" s="84"/>
      <c r="AR17" s="84">
        <v>46651</v>
      </c>
      <c r="AS17" s="84">
        <v>93852</v>
      </c>
      <c r="AT17" s="84">
        <v>-152</v>
      </c>
      <c r="AU17" s="84">
        <v>279</v>
      </c>
      <c r="AV17" s="84">
        <v>956</v>
      </c>
      <c r="AW17" s="84">
        <v>4407</v>
      </c>
      <c r="AX17" s="84"/>
      <c r="AY17" s="84"/>
      <c r="AZ17" s="84"/>
      <c r="BA17" s="84"/>
      <c r="BB17" s="84"/>
      <c r="BC17" s="84"/>
      <c r="BD17" s="84">
        <v>23111</v>
      </c>
      <c r="BE17" s="84">
        <v>44056</v>
      </c>
      <c r="BF17" s="84">
        <v>101763</v>
      </c>
      <c r="BG17" s="84">
        <v>220228</v>
      </c>
      <c r="BH17" s="84"/>
      <c r="BI17" s="84"/>
      <c r="BJ17" s="84"/>
      <c r="BK17" s="84"/>
      <c r="BL17" s="84">
        <v>112213</v>
      </c>
      <c r="BM17" s="84">
        <v>351514</v>
      </c>
      <c r="BN17" s="73">
        <f t="shared" si="0"/>
        <v>387771</v>
      </c>
      <c r="BO17" s="73">
        <f t="shared" si="1"/>
        <v>1002227</v>
      </c>
    </row>
    <row r="18" spans="1:67" s="7" customFormat="1" x14ac:dyDescent="0.25">
      <c r="A18" s="3" t="s">
        <v>42</v>
      </c>
      <c r="B18" s="10">
        <v>798845</v>
      </c>
      <c r="C18" s="10">
        <v>1584920</v>
      </c>
      <c r="D18" s="10">
        <v>1617854</v>
      </c>
      <c r="E18" s="10">
        <v>4581738</v>
      </c>
      <c r="F18" s="10">
        <v>406419</v>
      </c>
      <c r="G18" s="10">
        <v>2035183</v>
      </c>
      <c r="H18" s="10">
        <v>5567788</v>
      </c>
      <c r="I18" s="10">
        <v>14960945</v>
      </c>
      <c r="J18" s="10">
        <v>2363059</v>
      </c>
      <c r="K18" s="10">
        <v>5731812</v>
      </c>
      <c r="L18" s="10">
        <v>2969560</v>
      </c>
      <c r="M18" s="10">
        <v>7956536</v>
      </c>
      <c r="N18" s="10">
        <v>630605.48</v>
      </c>
      <c r="O18" s="10">
        <v>1687674.06</v>
      </c>
      <c r="P18" s="10">
        <v>245348</v>
      </c>
      <c r="Q18" s="10">
        <v>806849</v>
      </c>
      <c r="R18" s="10">
        <v>2468415</v>
      </c>
      <c r="S18" s="10">
        <v>6094181</v>
      </c>
      <c r="T18" s="10">
        <v>2287428</v>
      </c>
      <c r="U18" s="10">
        <v>5349033</v>
      </c>
      <c r="V18" s="10">
        <v>5430598</v>
      </c>
      <c r="W18" s="10">
        <v>14019094</v>
      </c>
      <c r="X18" s="10">
        <v>8019668</v>
      </c>
      <c r="Y18" s="10">
        <v>20113730</v>
      </c>
      <c r="Z18" s="10">
        <v>2124304</v>
      </c>
      <c r="AA18" s="10">
        <v>5454370</v>
      </c>
      <c r="AB18" s="10">
        <v>402905</v>
      </c>
      <c r="AC18" s="10">
        <v>1132070</v>
      </c>
      <c r="AD18" s="10">
        <v>1514516</v>
      </c>
      <c r="AE18" s="10">
        <v>3759914</v>
      </c>
      <c r="AF18" s="10">
        <v>1032375</v>
      </c>
      <c r="AG18" s="10">
        <v>2645463</v>
      </c>
      <c r="AH18" s="10">
        <v>965673</v>
      </c>
      <c r="AI18" s="10">
        <v>2439845</v>
      </c>
      <c r="AJ18" s="10">
        <v>1346724</v>
      </c>
      <c r="AK18" s="10">
        <v>3668402</v>
      </c>
      <c r="AL18" s="10">
        <v>7498858</v>
      </c>
      <c r="AM18" s="10">
        <v>24066402</v>
      </c>
      <c r="AN18" s="10">
        <v>221669</v>
      </c>
      <c r="AO18" s="10">
        <v>652858</v>
      </c>
      <c r="AP18" s="10">
        <v>332549</v>
      </c>
      <c r="AQ18" s="10">
        <v>769301</v>
      </c>
      <c r="AR18" s="10">
        <v>4036182</v>
      </c>
      <c r="AS18" s="10">
        <v>11217237</v>
      </c>
      <c r="AT18" s="10">
        <v>1750782</v>
      </c>
      <c r="AU18" s="10">
        <v>5014571</v>
      </c>
      <c r="AV18" s="10">
        <v>1478193</v>
      </c>
      <c r="AW18" s="10">
        <v>3510690</v>
      </c>
      <c r="AX18" s="10">
        <v>2644132</v>
      </c>
      <c r="AY18" s="10">
        <v>7019222</v>
      </c>
      <c r="AZ18" s="10">
        <v>1104236</v>
      </c>
      <c r="BA18" s="10">
        <v>2830144</v>
      </c>
      <c r="BB18" s="10">
        <v>3464860</v>
      </c>
      <c r="BC18" s="10">
        <v>9499080</v>
      </c>
      <c r="BD18" s="10">
        <v>5052738</v>
      </c>
      <c r="BE18" s="10">
        <v>12777046</v>
      </c>
      <c r="BF18" s="10">
        <v>13199206</v>
      </c>
      <c r="BG18" s="10">
        <v>41116896</v>
      </c>
      <c r="BH18" s="10">
        <v>7961226</v>
      </c>
      <c r="BI18" s="10">
        <v>22981489</v>
      </c>
      <c r="BJ18" s="10">
        <v>9410616</v>
      </c>
      <c r="BK18" s="10">
        <v>26309360</v>
      </c>
      <c r="BL18" s="10">
        <v>609144</v>
      </c>
      <c r="BM18" s="10">
        <v>1720171</v>
      </c>
      <c r="BN18" s="68">
        <f t="shared" si="0"/>
        <v>98956475.480000004</v>
      </c>
      <c r="BO18" s="68">
        <f t="shared" si="1"/>
        <v>273506226.06</v>
      </c>
    </row>
  </sheetData>
  <mergeCells count="33">
    <mergeCell ref="BH3:BI3"/>
    <mergeCell ref="BJ3:BK3"/>
    <mergeCell ref="BL3:BM3"/>
    <mergeCell ref="BN3:BO3"/>
    <mergeCell ref="BF3:BG3"/>
    <mergeCell ref="BB3:BC3"/>
    <mergeCell ref="AJ3:AK3"/>
    <mergeCell ref="AL3:AM3"/>
    <mergeCell ref="AN3:AO3"/>
    <mergeCell ref="AP3:AQ3"/>
    <mergeCell ref="AR3:AS3"/>
    <mergeCell ref="BD3:BE3"/>
    <mergeCell ref="AH3:AI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T3:AU3"/>
    <mergeCell ref="AV3:AW3"/>
    <mergeCell ref="AX3:AY3"/>
    <mergeCell ref="AZ3:BA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6" customWidth="1"/>
    <col min="2" max="33" width="16" style="76" customWidth="1"/>
    <col min="34" max="34" width="16" style="7" customWidth="1"/>
    <col min="35" max="16384" width="9.140625" style="76"/>
  </cols>
  <sheetData>
    <row r="1" spans="1:34" ht="18.75" x14ac:dyDescent="0.3">
      <c r="A1" s="8" t="s">
        <v>296</v>
      </c>
    </row>
    <row r="2" spans="1:34" x14ac:dyDescent="0.25">
      <c r="A2" s="76" t="s">
        <v>34</v>
      </c>
    </row>
    <row r="3" spans="1:34" x14ac:dyDescent="0.25">
      <c r="A3" s="1" t="s">
        <v>0</v>
      </c>
      <c r="B3" s="102" t="s">
        <v>1</v>
      </c>
      <c r="C3" s="102" t="s">
        <v>282</v>
      </c>
      <c r="D3" s="102" t="s">
        <v>2</v>
      </c>
      <c r="E3" s="102" t="s">
        <v>3</v>
      </c>
      <c r="F3" s="102" t="s">
        <v>4</v>
      </c>
      <c r="G3" s="102" t="s">
        <v>283</v>
      </c>
      <c r="H3" s="102" t="s">
        <v>6</v>
      </c>
      <c r="I3" s="102" t="s">
        <v>5</v>
      </c>
      <c r="J3" s="102" t="s">
        <v>7</v>
      </c>
      <c r="K3" s="102" t="s">
        <v>284</v>
      </c>
      <c r="L3" s="102" t="s">
        <v>8</v>
      </c>
      <c r="M3" s="102" t="s">
        <v>9</v>
      </c>
      <c r="N3" s="102" t="s">
        <v>10</v>
      </c>
      <c r="O3" s="102" t="s">
        <v>304</v>
      </c>
      <c r="P3" s="102" t="s">
        <v>11</v>
      </c>
      <c r="Q3" s="102" t="s">
        <v>12</v>
      </c>
      <c r="R3" s="102" t="s">
        <v>285</v>
      </c>
      <c r="S3" s="102" t="s">
        <v>290</v>
      </c>
      <c r="T3" s="102" t="s">
        <v>13</v>
      </c>
      <c r="U3" s="102" t="s">
        <v>286</v>
      </c>
      <c r="V3" s="102" t="s">
        <v>287</v>
      </c>
      <c r="W3" s="102" t="s">
        <v>291</v>
      </c>
      <c r="X3" s="102" t="s">
        <v>305</v>
      </c>
      <c r="Y3" s="102" t="s">
        <v>14</v>
      </c>
      <c r="Z3" s="102" t="s">
        <v>15</v>
      </c>
      <c r="AA3" s="102" t="s">
        <v>16</v>
      </c>
      <c r="AB3" s="102" t="s">
        <v>17</v>
      </c>
      <c r="AC3" s="102" t="s">
        <v>18</v>
      </c>
      <c r="AD3" s="100" t="s">
        <v>288</v>
      </c>
      <c r="AE3" s="100" t="s">
        <v>289</v>
      </c>
      <c r="AF3" s="100" t="s">
        <v>19</v>
      </c>
      <c r="AG3" s="102" t="s">
        <v>20</v>
      </c>
      <c r="AH3" s="99" t="s">
        <v>21</v>
      </c>
    </row>
    <row r="4" spans="1:34" x14ac:dyDescent="0.25">
      <c r="A4" s="84" t="s">
        <v>35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>
        <v>575</v>
      </c>
      <c r="AE4" s="84">
        <v>2565</v>
      </c>
      <c r="AF4" s="84">
        <v>13589</v>
      </c>
      <c r="AG4" s="84"/>
      <c r="AH4" s="69">
        <f t="shared" ref="AH4:AH11" si="0">SUM(B4:AG4)</f>
        <v>16729</v>
      </c>
    </row>
    <row r="5" spans="1:34" x14ac:dyDescent="0.25">
      <c r="A5" s="84" t="s">
        <v>36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69">
        <f t="shared" si="0"/>
        <v>0</v>
      </c>
    </row>
    <row r="6" spans="1:34" x14ac:dyDescent="0.25">
      <c r="A6" s="84" t="s">
        <v>37</v>
      </c>
      <c r="B6" s="84"/>
      <c r="C6" s="84">
        <v>10206057</v>
      </c>
      <c r="D6" s="84"/>
      <c r="E6" s="84">
        <v>1666197</v>
      </c>
      <c r="F6" s="25">
        <v>1719685</v>
      </c>
      <c r="G6" s="84">
        <v>1432645</v>
      </c>
      <c r="H6" s="84">
        <v>26549180.309999999</v>
      </c>
      <c r="I6" s="84"/>
      <c r="J6" s="84"/>
      <c r="K6" s="84">
        <v>8277407</v>
      </c>
      <c r="L6" s="84">
        <v>14012512</v>
      </c>
      <c r="M6" s="84">
        <v>15779688</v>
      </c>
      <c r="N6" s="84">
        <v>4519821</v>
      </c>
      <c r="O6" s="84"/>
      <c r="P6" s="84">
        <v>7481249</v>
      </c>
      <c r="Q6" s="84">
        <v>2796224</v>
      </c>
      <c r="R6" s="84">
        <v>3298637</v>
      </c>
      <c r="S6" s="84">
        <v>168437</v>
      </c>
      <c r="T6" s="84"/>
      <c r="U6" s="84"/>
      <c r="V6" s="84">
        <v>615613</v>
      </c>
      <c r="W6" s="84">
        <v>7667050</v>
      </c>
      <c r="X6" s="84">
        <v>2500628</v>
      </c>
      <c r="Y6" s="84">
        <v>2550000</v>
      </c>
      <c r="Z6" s="84">
        <v>13326000</v>
      </c>
      <c r="AA6" s="84">
        <v>1968</v>
      </c>
      <c r="AB6" s="84">
        <v>24298860</v>
      </c>
      <c r="AC6" s="84">
        <v>4705428</v>
      </c>
      <c r="AD6" s="84">
        <v>18908542</v>
      </c>
      <c r="AE6" s="84"/>
      <c r="AF6" s="84"/>
      <c r="AG6" s="84"/>
      <c r="AH6" s="69">
        <f t="shared" si="0"/>
        <v>172481828.31</v>
      </c>
    </row>
    <row r="7" spans="1:34" x14ac:dyDescent="0.25">
      <c r="A7" s="84" t="s">
        <v>38</v>
      </c>
      <c r="B7" s="84"/>
      <c r="C7" s="84"/>
      <c r="D7" s="84">
        <v>39437983</v>
      </c>
      <c r="E7" s="84"/>
      <c r="F7" s="84"/>
      <c r="G7" s="84">
        <v>6347567</v>
      </c>
      <c r="H7" s="84"/>
      <c r="I7" s="84"/>
      <c r="J7" s="84"/>
      <c r="K7" s="84"/>
      <c r="L7" s="84"/>
      <c r="M7" s="84">
        <v>333642</v>
      </c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>
        <v>151237</v>
      </c>
      <c r="AD7" s="84">
        <v>143790339</v>
      </c>
      <c r="AE7" s="84">
        <v>3809978</v>
      </c>
      <c r="AF7" s="84">
        <v>7707504</v>
      </c>
      <c r="AG7" s="84">
        <v>1676182</v>
      </c>
      <c r="AH7" s="69">
        <f t="shared" si="0"/>
        <v>203254432</v>
      </c>
    </row>
    <row r="8" spans="1:34" x14ac:dyDescent="0.25">
      <c r="A8" s="84" t="s">
        <v>39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>
        <v>16540</v>
      </c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69">
        <f t="shared" si="0"/>
        <v>16540</v>
      </c>
    </row>
    <row r="9" spans="1:34" x14ac:dyDescent="0.25">
      <c r="A9" s="84" t="s">
        <v>40</v>
      </c>
      <c r="B9" s="84">
        <f>B11-B10-B8-B7-B6-B5-B4</f>
        <v>0</v>
      </c>
      <c r="C9" s="84">
        <f t="shared" ref="C9:AG9" si="1">C11-C10-C8-C7-C6-C5-C4</f>
        <v>0</v>
      </c>
      <c r="D9" s="84">
        <f>D11-D10-D8-D7-D6-D5-D4</f>
        <v>0</v>
      </c>
      <c r="E9" s="84">
        <f t="shared" si="1"/>
        <v>0</v>
      </c>
      <c r="F9" s="84">
        <f t="shared" si="1"/>
        <v>0</v>
      </c>
      <c r="G9" s="84">
        <f t="shared" si="1"/>
        <v>200000</v>
      </c>
      <c r="H9" s="84">
        <f t="shared" si="1"/>
        <v>600000</v>
      </c>
      <c r="I9" s="84">
        <f t="shared" si="1"/>
        <v>0</v>
      </c>
      <c r="J9" s="84">
        <f t="shared" si="1"/>
        <v>0</v>
      </c>
      <c r="K9" s="84">
        <f t="shared" si="1"/>
        <v>149014</v>
      </c>
      <c r="L9" s="84">
        <f t="shared" si="1"/>
        <v>3359482</v>
      </c>
      <c r="M9" s="84">
        <f t="shared" si="1"/>
        <v>277144</v>
      </c>
      <c r="N9" s="84">
        <f t="shared" si="1"/>
        <v>1166</v>
      </c>
      <c r="O9" s="84">
        <f t="shared" si="1"/>
        <v>148511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207639</v>
      </c>
      <c r="X9" s="84">
        <f t="shared" si="1"/>
        <v>384338</v>
      </c>
      <c r="Y9" s="84">
        <f t="shared" si="1"/>
        <v>0</v>
      </c>
      <c r="Z9" s="84">
        <f t="shared" si="1"/>
        <v>0</v>
      </c>
      <c r="AA9" s="84">
        <f t="shared" si="1"/>
        <v>0</v>
      </c>
      <c r="AB9" s="84">
        <f t="shared" si="1"/>
        <v>150000</v>
      </c>
      <c r="AC9" s="84">
        <f t="shared" si="1"/>
        <v>445000</v>
      </c>
      <c r="AD9" s="84">
        <f t="shared" si="1"/>
        <v>17293780</v>
      </c>
      <c r="AE9" s="84">
        <f t="shared" si="1"/>
        <v>0</v>
      </c>
      <c r="AF9" s="84">
        <f t="shared" si="1"/>
        <v>852413</v>
      </c>
      <c r="AG9" s="84">
        <f t="shared" si="1"/>
        <v>0</v>
      </c>
      <c r="AH9" s="69">
        <f t="shared" si="0"/>
        <v>24068487</v>
      </c>
    </row>
    <row r="10" spans="1:34" x14ac:dyDescent="0.25">
      <c r="A10" s="84" t="s">
        <v>41</v>
      </c>
      <c r="B10" s="84"/>
      <c r="C10" s="84"/>
      <c r="D10" s="84">
        <v>3847072</v>
      </c>
      <c r="E10" s="84">
        <v>67320024</v>
      </c>
      <c r="F10" s="84"/>
      <c r="G10" s="84">
        <v>7429355</v>
      </c>
      <c r="H10" s="84">
        <v>3763325.18</v>
      </c>
      <c r="I10" s="84"/>
      <c r="J10" s="84"/>
      <c r="K10" s="84"/>
      <c r="L10" s="84">
        <v>9103289</v>
      </c>
      <c r="M10" s="84">
        <v>51726810</v>
      </c>
      <c r="N10" s="84">
        <v>20827188</v>
      </c>
      <c r="O10" s="84"/>
      <c r="P10" s="84"/>
      <c r="Q10" s="84"/>
      <c r="R10" s="84"/>
      <c r="S10" s="84"/>
      <c r="T10" s="84"/>
      <c r="U10" s="84"/>
      <c r="V10" s="84"/>
      <c r="W10" s="84">
        <v>9832465</v>
      </c>
      <c r="X10" s="84"/>
      <c r="Y10" s="84">
        <v>6353137</v>
      </c>
      <c r="Z10" s="84">
        <v>10694117</v>
      </c>
      <c r="AA10" s="84">
        <v>18174627</v>
      </c>
      <c r="AB10" s="84">
        <v>2323813</v>
      </c>
      <c r="AC10" s="84">
        <v>13885476</v>
      </c>
      <c r="AD10" s="84"/>
      <c r="AE10" s="84"/>
      <c r="AF10" s="84"/>
      <c r="AG10" s="84">
        <v>5767043</v>
      </c>
      <c r="AH10" s="69">
        <f t="shared" si="0"/>
        <v>231047741.18000001</v>
      </c>
    </row>
    <row r="11" spans="1:34" s="7" customFormat="1" x14ac:dyDescent="0.25">
      <c r="A11" s="10" t="s">
        <v>42</v>
      </c>
      <c r="B11" s="10"/>
      <c r="C11" s="10">
        <v>10206057</v>
      </c>
      <c r="D11" s="10">
        <v>43285055</v>
      </c>
      <c r="E11" s="10">
        <v>68986221</v>
      </c>
      <c r="F11" s="10">
        <v>1719685</v>
      </c>
      <c r="G11" s="10">
        <v>15409567</v>
      </c>
      <c r="H11" s="10">
        <v>30912505.489999998</v>
      </c>
      <c r="I11" s="10"/>
      <c r="J11" s="10"/>
      <c r="K11" s="10">
        <v>8426421</v>
      </c>
      <c r="L11" s="10">
        <v>26475283</v>
      </c>
      <c r="M11" s="10">
        <v>68117284</v>
      </c>
      <c r="N11" s="10">
        <v>25348175</v>
      </c>
      <c r="O11" s="10">
        <v>165051</v>
      </c>
      <c r="P11" s="10">
        <v>7481249</v>
      </c>
      <c r="Q11" s="10">
        <v>2796224</v>
      </c>
      <c r="R11" s="10">
        <v>3298637</v>
      </c>
      <c r="S11" s="10">
        <v>168437</v>
      </c>
      <c r="T11" s="10"/>
      <c r="U11" s="10"/>
      <c r="V11" s="10">
        <v>615613</v>
      </c>
      <c r="W11" s="84">
        <v>17707154</v>
      </c>
      <c r="X11" s="10">
        <v>2884966</v>
      </c>
      <c r="Y11" s="10">
        <v>8903137</v>
      </c>
      <c r="Z11" s="10">
        <v>24020117</v>
      </c>
      <c r="AA11" s="10">
        <v>18176595</v>
      </c>
      <c r="AB11" s="10">
        <v>26772673</v>
      </c>
      <c r="AC11" s="10">
        <v>19187141</v>
      </c>
      <c r="AD11" s="10">
        <v>179993236</v>
      </c>
      <c r="AE11" s="10">
        <v>3812543</v>
      </c>
      <c r="AF11" s="10">
        <v>8573506</v>
      </c>
      <c r="AG11" s="10">
        <v>7443225</v>
      </c>
      <c r="AH11" s="68">
        <f t="shared" si="0"/>
        <v>630885757.49000001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47" customWidth="1"/>
    <col min="2" max="97" width="14.28515625" style="47" customWidth="1"/>
    <col min="98" max="16384" width="9.140625" style="47"/>
  </cols>
  <sheetData>
    <row r="1" spans="1:97" ht="18.75" x14ac:dyDescent="0.3">
      <c r="A1" s="46" t="s">
        <v>297</v>
      </c>
    </row>
    <row r="2" spans="1:97" x14ac:dyDescent="0.25">
      <c r="A2" s="48" t="s">
        <v>34</v>
      </c>
    </row>
    <row r="3" spans="1:97" x14ac:dyDescent="0.25">
      <c r="A3" s="109" t="s">
        <v>0</v>
      </c>
      <c r="B3" s="108" t="s">
        <v>1</v>
      </c>
      <c r="C3" s="108"/>
      <c r="D3" s="108"/>
      <c r="E3" s="108" t="s">
        <v>282</v>
      </c>
      <c r="F3" s="108"/>
      <c r="G3" s="108"/>
      <c r="H3" s="108" t="s">
        <v>2</v>
      </c>
      <c r="I3" s="108"/>
      <c r="J3" s="108"/>
      <c r="K3" s="108" t="s">
        <v>3</v>
      </c>
      <c r="L3" s="108"/>
      <c r="M3" s="108"/>
      <c r="N3" s="108" t="s">
        <v>4</v>
      </c>
      <c r="O3" s="108"/>
      <c r="P3" s="108"/>
      <c r="Q3" s="108" t="s">
        <v>283</v>
      </c>
      <c r="R3" s="108"/>
      <c r="S3" s="108"/>
      <c r="T3" s="108" t="s">
        <v>6</v>
      </c>
      <c r="U3" s="108"/>
      <c r="V3" s="108"/>
      <c r="W3" s="108" t="s">
        <v>5</v>
      </c>
      <c r="X3" s="108"/>
      <c r="Y3" s="108"/>
      <c r="Z3" s="108" t="s">
        <v>7</v>
      </c>
      <c r="AA3" s="108"/>
      <c r="AB3" s="108"/>
      <c r="AC3" s="108" t="s">
        <v>284</v>
      </c>
      <c r="AD3" s="108"/>
      <c r="AE3" s="108"/>
      <c r="AF3" s="108" t="s">
        <v>8</v>
      </c>
      <c r="AG3" s="108"/>
      <c r="AH3" s="108"/>
      <c r="AI3" s="108" t="s">
        <v>9</v>
      </c>
      <c r="AJ3" s="108"/>
      <c r="AK3" s="108"/>
      <c r="AL3" s="108" t="s">
        <v>10</v>
      </c>
      <c r="AM3" s="108"/>
      <c r="AN3" s="108"/>
      <c r="AO3" s="108" t="s">
        <v>304</v>
      </c>
      <c r="AP3" s="108"/>
      <c r="AQ3" s="108"/>
      <c r="AR3" s="108" t="s">
        <v>11</v>
      </c>
      <c r="AS3" s="108"/>
      <c r="AT3" s="108"/>
      <c r="AU3" s="108" t="s">
        <v>12</v>
      </c>
      <c r="AV3" s="108"/>
      <c r="AW3" s="108"/>
      <c r="AX3" s="108" t="s">
        <v>285</v>
      </c>
      <c r="AY3" s="108"/>
      <c r="AZ3" s="108"/>
      <c r="BA3" s="108" t="s">
        <v>290</v>
      </c>
      <c r="BB3" s="108"/>
      <c r="BC3" s="108"/>
      <c r="BD3" s="108" t="s">
        <v>13</v>
      </c>
      <c r="BE3" s="108"/>
      <c r="BF3" s="108"/>
      <c r="BG3" s="108" t="s">
        <v>286</v>
      </c>
      <c r="BH3" s="108"/>
      <c r="BI3" s="108"/>
      <c r="BJ3" s="108" t="s">
        <v>287</v>
      </c>
      <c r="BK3" s="108"/>
      <c r="BL3" s="108"/>
      <c r="BM3" s="108" t="s">
        <v>291</v>
      </c>
      <c r="BN3" s="108"/>
      <c r="BO3" s="108"/>
      <c r="BP3" s="108" t="s">
        <v>305</v>
      </c>
      <c r="BQ3" s="108"/>
      <c r="BR3" s="108"/>
      <c r="BS3" s="108" t="s">
        <v>14</v>
      </c>
      <c r="BT3" s="108"/>
      <c r="BU3" s="108"/>
      <c r="BV3" s="108" t="s">
        <v>15</v>
      </c>
      <c r="BW3" s="108"/>
      <c r="BX3" s="108"/>
      <c r="BY3" s="108" t="s">
        <v>16</v>
      </c>
      <c r="BZ3" s="108"/>
      <c r="CA3" s="108"/>
      <c r="CB3" s="108" t="s">
        <v>17</v>
      </c>
      <c r="CC3" s="108"/>
      <c r="CD3" s="108"/>
      <c r="CE3" s="108" t="s">
        <v>18</v>
      </c>
      <c r="CF3" s="108"/>
      <c r="CG3" s="108"/>
      <c r="CH3" s="108" t="s">
        <v>288</v>
      </c>
      <c r="CI3" s="108"/>
      <c r="CJ3" s="108"/>
      <c r="CK3" s="108" t="s">
        <v>289</v>
      </c>
      <c r="CL3" s="108"/>
      <c r="CM3" s="108"/>
      <c r="CN3" s="108" t="s">
        <v>19</v>
      </c>
      <c r="CO3" s="108"/>
      <c r="CP3" s="108"/>
      <c r="CQ3" s="108" t="s">
        <v>20</v>
      </c>
      <c r="CR3" s="108"/>
      <c r="CS3" s="108"/>
    </row>
    <row r="4" spans="1:97" x14ac:dyDescent="0.25">
      <c r="A4" s="109"/>
      <c r="B4" s="95" t="s">
        <v>178</v>
      </c>
      <c r="C4" s="95" t="s">
        <v>179</v>
      </c>
      <c r="D4" s="95" t="s">
        <v>150</v>
      </c>
      <c r="E4" s="95" t="s">
        <v>178</v>
      </c>
      <c r="F4" s="95" t="s">
        <v>179</v>
      </c>
      <c r="G4" s="95" t="s">
        <v>150</v>
      </c>
      <c r="H4" s="95" t="s">
        <v>178</v>
      </c>
      <c r="I4" s="95" t="s">
        <v>179</v>
      </c>
      <c r="J4" s="95" t="s">
        <v>150</v>
      </c>
      <c r="K4" s="95" t="s">
        <v>178</v>
      </c>
      <c r="L4" s="95" t="s">
        <v>179</v>
      </c>
      <c r="M4" s="95" t="s">
        <v>150</v>
      </c>
      <c r="N4" s="95" t="s">
        <v>178</v>
      </c>
      <c r="O4" s="95" t="s">
        <v>179</v>
      </c>
      <c r="P4" s="95" t="s">
        <v>150</v>
      </c>
      <c r="Q4" s="95" t="s">
        <v>178</v>
      </c>
      <c r="R4" s="95" t="s">
        <v>179</v>
      </c>
      <c r="S4" s="95" t="s">
        <v>150</v>
      </c>
      <c r="T4" s="95" t="s">
        <v>178</v>
      </c>
      <c r="U4" s="95" t="s">
        <v>179</v>
      </c>
      <c r="V4" s="95" t="s">
        <v>150</v>
      </c>
      <c r="W4" s="95" t="s">
        <v>178</v>
      </c>
      <c r="X4" s="95" t="s">
        <v>179</v>
      </c>
      <c r="Y4" s="95" t="s">
        <v>150</v>
      </c>
      <c r="Z4" s="95" t="s">
        <v>178</v>
      </c>
      <c r="AA4" s="95" t="s">
        <v>179</v>
      </c>
      <c r="AB4" s="95" t="s">
        <v>150</v>
      </c>
      <c r="AC4" s="95" t="s">
        <v>178</v>
      </c>
      <c r="AD4" s="95" t="s">
        <v>179</v>
      </c>
      <c r="AE4" s="95" t="s">
        <v>150</v>
      </c>
      <c r="AF4" s="95" t="s">
        <v>178</v>
      </c>
      <c r="AG4" s="95" t="s">
        <v>179</v>
      </c>
      <c r="AH4" s="95" t="s">
        <v>150</v>
      </c>
      <c r="AI4" s="95" t="s">
        <v>178</v>
      </c>
      <c r="AJ4" s="95" t="s">
        <v>179</v>
      </c>
      <c r="AK4" s="95" t="s">
        <v>150</v>
      </c>
      <c r="AL4" s="95" t="s">
        <v>178</v>
      </c>
      <c r="AM4" s="95" t="s">
        <v>179</v>
      </c>
      <c r="AN4" s="95" t="s">
        <v>150</v>
      </c>
      <c r="AO4" s="95" t="s">
        <v>178</v>
      </c>
      <c r="AP4" s="95" t="s">
        <v>179</v>
      </c>
      <c r="AQ4" s="95" t="s">
        <v>150</v>
      </c>
      <c r="AR4" s="95" t="s">
        <v>178</v>
      </c>
      <c r="AS4" s="95" t="s">
        <v>179</v>
      </c>
      <c r="AT4" s="95" t="s">
        <v>150</v>
      </c>
      <c r="AU4" s="95" t="s">
        <v>178</v>
      </c>
      <c r="AV4" s="95" t="s">
        <v>179</v>
      </c>
      <c r="AW4" s="95" t="s">
        <v>150</v>
      </c>
      <c r="AX4" s="95" t="s">
        <v>178</v>
      </c>
      <c r="AY4" s="95" t="s">
        <v>179</v>
      </c>
      <c r="AZ4" s="95" t="s">
        <v>150</v>
      </c>
      <c r="BA4" s="95" t="s">
        <v>178</v>
      </c>
      <c r="BB4" s="95" t="s">
        <v>179</v>
      </c>
      <c r="BC4" s="95" t="s">
        <v>150</v>
      </c>
      <c r="BD4" s="95" t="s">
        <v>178</v>
      </c>
      <c r="BE4" s="95" t="s">
        <v>179</v>
      </c>
      <c r="BF4" s="95" t="s">
        <v>150</v>
      </c>
      <c r="BG4" s="95" t="s">
        <v>178</v>
      </c>
      <c r="BH4" s="95" t="s">
        <v>179</v>
      </c>
      <c r="BI4" s="95" t="s">
        <v>150</v>
      </c>
      <c r="BJ4" s="95" t="s">
        <v>178</v>
      </c>
      <c r="BK4" s="95" t="s">
        <v>179</v>
      </c>
      <c r="BL4" s="95" t="s">
        <v>150</v>
      </c>
      <c r="BM4" s="95" t="s">
        <v>178</v>
      </c>
      <c r="BN4" s="95" t="s">
        <v>179</v>
      </c>
      <c r="BO4" s="95" t="s">
        <v>150</v>
      </c>
      <c r="BP4" s="95" t="s">
        <v>178</v>
      </c>
      <c r="BQ4" s="95" t="s">
        <v>179</v>
      </c>
      <c r="BR4" s="95" t="s">
        <v>150</v>
      </c>
      <c r="BS4" s="95" t="s">
        <v>178</v>
      </c>
      <c r="BT4" s="95" t="s">
        <v>179</v>
      </c>
      <c r="BU4" s="95" t="s">
        <v>150</v>
      </c>
      <c r="BV4" s="95" t="s">
        <v>178</v>
      </c>
      <c r="BW4" s="95" t="s">
        <v>179</v>
      </c>
      <c r="BX4" s="95" t="s">
        <v>150</v>
      </c>
      <c r="BY4" s="95" t="s">
        <v>178</v>
      </c>
      <c r="BZ4" s="95" t="s">
        <v>179</v>
      </c>
      <c r="CA4" s="95" t="s">
        <v>150</v>
      </c>
      <c r="CB4" s="95" t="s">
        <v>178</v>
      </c>
      <c r="CC4" s="95" t="s">
        <v>179</v>
      </c>
      <c r="CD4" s="95" t="s">
        <v>150</v>
      </c>
      <c r="CE4" s="95" t="s">
        <v>178</v>
      </c>
      <c r="CF4" s="95" t="s">
        <v>179</v>
      </c>
      <c r="CG4" s="95" t="s">
        <v>150</v>
      </c>
      <c r="CH4" s="95" t="s">
        <v>178</v>
      </c>
      <c r="CI4" s="95" t="s">
        <v>179</v>
      </c>
      <c r="CJ4" s="95" t="s">
        <v>150</v>
      </c>
      <c r="CK4" s="95" t="s">
        <v>178</v>
      </c>
      <c r="CL4" s="95" t="s">
        <v>179</v>
      </c>
      <c r="CM4" s="95" t="s">
        <v>150</v>
      </c>
      <c r="CN4" s="95" t="s">
        <v>178</v>
      </c>
      <c r="CO4" s="95" t="s">
        <v>179</v>
      </c>
      <c r="CP4" s="95" t="s">
        <v>150</v>
      </c>
      <c r="CQ4" s="95" t="s">
        <v>178</v>
      </c>
      <c r="CR4" s="95" t="s">
        <v>179</v>
      </c>
      <c r="CS4" s="95" t="s">
        <v>150</v>
      </c>
    </row>
    <row r="5" spans="1:97" x14ac:dyDescent="0.25">
      <c r="A5" s="49" t="s">
        <v>180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7" ht="30" x14ac:dyDescent="0.25">
      <c r="A6" s="51" t="s">
        <v>181</v>
      </c>
      <c r="B6" s="50">
        <v>438689</v>
      </c>
      <c r="C6" s="50">
        <v>1378372</v>
      </c>
      <c r="D6" s="50">
        <f t="shared" ref="D6:D19" si="0">B6+C6</f>
        <v>1817061</v>
      </c>
      <c r="E6" s="50">
        <v>1077833</v>
      </c>
      <c r="F6" s="50">
        <v>1906672</v>
      </c>
      <c r="G6" s="50">
        <f>F6+E6</f>
        <v>2984505</v>
      </c>
      <c r="H6" s="50"/>
      <c r="I6" s="50"/>
      <c r="J6" s="50">
        <v>14241628</v>
      </c>
      <c r="K6" s="50">
        <v>24126219</v>
      </c>
      <c r="L6" s="50">
        <v>73485992</v>
      </c>
      <c r="M6" s="50">
        <f>L6+K6</f>
        <v>97612211</v>
      </c>
      <c r="N6" s="50">
        <v>2019920</v>
      </c>
      <c r="O6" s="50">
        <v>12449424</v>
      </c>
      <c r="P6" s="50">
        <f>O6+N6</f>
        <v>14469344</v>
      </c>
      <c r="Q6" s="50">
        <v>7977333</v>
      </c>
      <c r="R6" s="50">
        <v>67712113</v>
      </c>
      <c r="S6" s="50">
        <f>R6+Q6</f>
        <v>75689446</v>
      </c>
      <c r="T6" s="50">
        <v>17439037.050000001</v>
      </c>
      <c r="U6" s="50">
        <v>23116863.059999999</v>
      </c>
      <c r="V6" s="50">
        <f>U6+T6</f>
        <v>40555900.109999999</v>
      </c>
      <c r="W6" s="50"/>
      <c r="X6" s="50">
        <v>652815</v>
      </c>
      <c r="Y6" s="50">
        <f>X6+W6</f>
        <v>652815</v>
      </c>
      <c r="Z6" s="50">
        <v>4614650</v>
      </c>
      <c r="AA6" s="50">
        <v>16202331</v>
      </c>
      <c r="AB6" s="50">
        <f>AA6+Z6</f>
        <v>20816981</v>
      </c>
      <c r="AC6" s="50"/>
      <c r="AD6" s="50">
        <v>19901066</v>
      </c>
      <c r="AE6" s="50">
        <f>AD6+AC6</f>
        <v>19901066</v>
      </c>
      <c r="AF6" s="50">
        <v>9359600</v>
      </c>
      <c r="AG6" s="50">
        <v>38219881</v>
      </c>
      <c r="AH6" s="50">
        <f>AG6+AF6</f>
        <v>47579481</v>
      </c>
      <c r="AI6" s="50">
        <v>26991949</v>
      </c>
      <c r="AJ6" s="50">
        <v>85328775</v>
      </c>
      <c r="AK6" s="50">
        <f>AJ6+AI6</f>
        <v>112320724</v>
      </c>
      <c r="AL6" s="50">
        <v>9588341</v>
      </c>
      <c r="AM6" s="50">
        <v>32593823</v>
      </c>
      <c r="AN6" s="50">
        <f>AM6+AL6</f>
        <v>42182164</v>
      </c>
      <c r="AO6" s="50">
        <v>1335395</v>
      </c>
      <c r="AP6" s="50">
        <v>4646200</v>
      </c>
      <c r="AQ6" s="50">
        <f>AP6+AO6</f>
        <v>5981595</v>
      </c>
      <c r="AR6" s="50">
        <v>1812004</v>
      </c>
      <c r="AS6" s="50">
        <v>4813784</v>
      </c>
      <c r="AT6" s="50">
        <f>AR6+AS6</f>
        <v>6625788</v>
      </c>
      <c r="AU6" s="50">
        <v>1360640</v>
      </c>
      <c r="AV6" s="50">
        <v>9091963</v>
      </c>
      <c r="AW6" s="50">
        <f>AV6+AU6</f>
        <v>10452603</v>
      </c>
      <c r="AX6" s="50">
        <v>729823</v>
      </c>
      <c r="AY6" s="50">
        <v>1172275</v>
      </c>
      <c r="AZ6" s="50">
        <f>AY6+AX6</f>
        <v>1902098</v>
      </c>
      <c r="BA6" s="50">
        <v>1430891</v>
      </c>
      <c r="BB6" s="50">
        <v>1077312</v>
      </c>
      <c r="BC6" s="50">
        <f>BB6+BA6</f>
        <v>2508203</v>
      </c>
      <c r="BD6" s="50">
        <v>2311595</v>
      </c>
      <c r="BE6" s="50">
        <v>98627050</v>
      </c>
      <c r="BF6" s="50">
        <f>BE6+BD6</f>
        <v>100938645</v>
      </c>
      <c r="BG6" s="50">
        <v>105550</v>
      </c>
      <c r="BH6" s="50">
        <v>786187</v>
      </c>
      <c r="BI6" s="50">
        <f>BH6+BG6</f>
        <v>891737</v>
      </c>
      <c r="BJ6" s="50">
        <v>653763</v>
      </c>
      <c r="BK6" s="50">
        <v>1933934</v>
      </c>
      <c r="BL6" s="50">
        <f>BK6+BJ6</f>
        <v>2587697</v>
      </c>
      <c r="BM6" s="50">
        <v>4623672</v>
      </c>
      <c r="BN6" s="50">
        <v>26180772</v>
      </c>
      <c r="BO6" s="50">
        <f t="shared" ref="BO6:BO19" si="1">BN6+BM6</f>
        <v>30804444</v>
      </c>
      <c r="BP6" s="50">
        <v>2478289</v>
      </c>
      <c r="BQ6" s="50">
        <v>4378838</v>
      </c>
      <c r="BR6" s="50">
        <f>BQ6+BP6</f>
        <v>6857127</v>
      </c>
      <c r="BS6" s="50">
        <v>4676504</v>
      </c>
      <c r="BT6" s="50">
        <v>21624374</v>
      </c>
      <c r="BU6" s="50">
        <f>BT6+BS6</f>
        <v>26300878</v>
      </c>
      <c r="BV6" s="50">
        <v>5566812</v>
      </c>
      <c r="BW6" s="50">
        <v>13485332</v>
      </c>
      <c r="BX6" s="50">
        <f>BW6+BV6</f>
        <v>19052144</v>
      </c>
      <c r="BY6" s="50">
        <v>7002595</v>
      </c>
      <c r="BZ6" s="50">
        <v>27433116</v>
      </c>
      <c r="CA6" s="50">
        <f t="shared" ref="CA6:CA19" si="2">BZ6+BY6</f>
        <v>34435711</v>
      </c>
      <c r="CB6" s="50">
        <v>10211491</v>
      </c>
      <c r="CC6" s="50">
        <v>12538834</v>
      </c>
      <c r="CD6" s="50">
        <f>CC6+CB6</f>
        <v>22750325</v>
      </c>
      <c r="CE6" s="50">
        <v>13385810</v>
      </c>
      <c r="CF6" s="50">
        <v>53499398</v>
      </c>
      <c r="CG6" s="50">
        <f>CF6+CE6</f>
        <v>66885208</v>
      </c>
      <c r="CH6" s="50">
        <v>85434143</v>
      </c>
      <c r="CI6" s="50">
        <v>182447824</v>
      </c>
      <c r="CJ6" s="50">
        <f>CI6+CH6</f>
        <v>267881967</v>
      </c>
      <c r="CK6" s="50">
        <v>6806803</v>
      </c>
      <c r="CL6" s="50">
        <v>104234024</v>
      </c>
      <c r="CM6" s="50">
        <f t="shared" ref="CM6:CM19" si="3">CL6+CK6</f>
        <v>111040827</v>
      </c>
      <c r="CN6" s="50"/>
      <c r="CO6" s="50"/>
      <c r="CP6" s="50">
        <v>140878026</v>
      </c>
      <c r="CQ6" s="50">
        <v>1406045</v>
      </c>
      <c r="CR6" s="50">
        <v>11181586</v>
      </c>
      <c r="CS6" s="50">
        <f t="shared" ref="CS6:CS19" si="4">CR6+CQ6</f>
        <v>12587631</v>
      </c>
    </row>
    <row r="7" spans="1:97" ht="15" customHeight="1" x14ac:dyDescent="0.25">
      <c r="A7" s="51" t="s">
        <v>182</v>
      </c>
      <c r="B7" s="50"/>
      <c r="C7" s="50"/>
      <c r="D7" s="50">
        <f t="shared" si="0"/>
        <v>0</v>
      </c>
      <c r="E7" s="50">
        <v>1469638</v>
      </c>
      <c r="F7" s="50">
        <v>2987028</v>
      </c>
      <c r="G7" s="50">
        <f t="shared" ref="G7:G19" si="5">F7+E7</f>
        <v>4456666</v>
      </c>
      <c r="H7" s="50"/>
      <c r="I7" s="50"/>
      <c r="J7" s="50">
        <v>17203553</v>
      </c>
      <c r="K7" s="50"/>
      <c r="L7" s="50"/>
      <c r="M7" s="50">
        <f t="shared" ref="M7:M19" si="6">L7+K7</f>
        <v>0</v>
      </c>
      <c r="N7" s="50">
        <v>731310</v>
      </c>
      <c r="O7" s="50">
        <v>4507302</v>
      </c>
      <c r="P7" s="50">
        <f t="shared" ref="P7:P19" si="7">O7+N7</f>
        <v>5238612</v>
      </c>
      <c r="Q7" s="50"/>
      <c r="R7" s="50"/>
      <c r="S7" s="50">
        <f t="shared" ref="S7:S19" si="8">R7+Q7</f>
        <v>0</v>
      </c>
      <c r="T7" s="50">
        <v>1826525.8</v>
      </c>
      <c r="U7" s="50">
        <v>2421208.61</v>
      </c>
      <c r="V7" s="50">
        <f t="shared" ref="V7:V19" si="9">U7+T7</f>
        <v>4247734.41</v>
      </c>
      <c r="W7" s="50">
        <v>162901</v>
      </c>
      <c r="X7" s="50">
        <v>215035</v>
      </c>
      <c r="Y7" s="50">
        <f t="shared" ref="Y7:Y19" si="10">X7+W7</f>
        <v>377936</v>
      </c>
      <c r="Z7" s="50"/>
      <c r="AA7" s="50"/>
      <c r="AB7" s="50">
        <f t="shared" ref="AB7:AB19" si="11">AA7+Z7</f>
        <v>0</v>
      </c>
      <c r="AC7" s="50"/>
      <c r="AD7" s="50">
        <v>1413500</v>
      </c>
      <c r="AE7" s="50">
        <f t="shared" ref="AE7:AE19" si="12">AD7+AC7</f>
        <v>1413500</v>
      </c>
      <c r="AF7" s="50">
        <v>3545916</v>
      </c>
      <c r="AG7" s="50">
        <v>14479736</v>
      </c>
      <c r="AH7" s="50">
        <f t="shared" ref="AH7:AH19" si="13">AG7+AF7</f>
        <v>18025652</v>
      </c>
      <c r="AI7" s="50"/>
      <c r="AJ7" s="50"/>
      <c r="AK7" s="50">
        <f t="shared" ref="AK7:AK19" si="14">AJ7+AI7</f>
        <v>0</v>
      </c>
      <c r="AL7" s="50">
        <v>445023</v>
      </c>
      <c r="AM7" s="50">
        <v>1512777</v>
      </c>
      <c r="AN7" s="50">
        <f t="shared" ref="AN7:AN19" si="15">AM7+AL7</f>
        <v>1957800</v>
      </c>
      <c r="AO7" s="50"/>
      <c r="AP7" s="50"/>
      <c r="AQ7" s="50">
        <f t="shared" ref="AQ7:AQ19" si="16">AP7+AO7</f>
        <v>0</v>
      </c>
      <c r="AR7" s="50">
        <v>1367348</v>
      </c>
      <c r="AS7" s="50">
        <v>3632503</v>
      </c>
      <c r="AT7" s="50">
        <f t="shared" ref="AT7:AT18" si="17">AR7+AS7</f>
        <v>4999851</v>
      </c>
      <c r="AU7" s="50">
        <v>307959</v>
      </c>
      <c r="AV7" s="50">
        <v>2057820</v>
      </c>
      <c r="AW7" s="50">
        <f t="shared" ref="AW7:AW19" si="18">AV7+AU7</f>
        <v>2365779</v>
      </c>
      <c r="AX7" s="50">
        <v>569481</v>
      </c>
      <c r="AY7" s="50">
        <v>981232</v>
      </c>
      <c r="AZ7" s="50">
        <f t="shared" ref="AZ7:AZ19" si="19">AY7+AX7</f>
        <v>1550713</v>
      </c>
      <c r="BA7" s="50">
        <v>506198</v>
      </c>
      <c r="BB7" s="50">
        <v>457594</v>
      </c>
      <c r="BC7" s="50">
        <f t="shared" ref="BC7:BC19" si="20">BB7+BA7</f>
        <v>963792</v>
      </c>
      <c r="BD7" s="50">
        <v>6374</v>
      </c>
      <c r="BE7" s="50">
        <v>271951</v>
      </c>
      <c r="BF7" s="50">
        <f t="shared" ref="BF7:BF19" si="21">BE7+BD7</f>
        <v>278325</v>
      </c>
      <c r="BG7" s="50">
        <v>50680</v>
      </c>
      <c r="BH7" s="50">
        <v>464746</v>
      </c>
      <c r="BI7" s="50">
        <f t="shared" ref="BI7:BI19" si="22">BH7+BG7</f>
        <v>515426</v>
      </c>
      <c r="BJ7" s="50"/>
      <c r="BK7" s="50"/>
      <c r="BL7" s="50">
        <f t="shared" ref="BL7:BL19" si="23">BK7+BJ7</f>
        <v>0</v>
      </c>
      <c r="BM7" s="50">
        <v>3536665</v>
      </c>
      <c r="BN7" s="50">
        <v>20025782</v>
      </c>
      <c r="BO7" s="50">
        <f t="shared" si="1"/>
        <v>23562447</v>
      </c>
      <c r="BP7" s="50">
        <v>219116</v>
      </c>
      <c r="BQ7" s="50">
        <v>1007576</v>
      </c>
      <c r="BR7" s="50">
        <f t="shared" ref="BR7:BR19" si="24">BQ7+BP7</f>
        <v>1226692</v>
      </c>
      <c r="BS7" s="50"/>
      <c r="BT7" s="50"/>
      <c r="BU7" s="50">
        <f t="shared" ref="BU7:BU19" si="25">BT7+BS7</f>
        <v>0</v>
      </c>
      <c r="BV7" s="50">
        <v>1934895</v>
      </c>
      <c r="BW7" s="50">
        <v>8786499</v>
      </c>
      <c r="BX7" s="50">
        <f t="shared" ref="BX7:BX19" si="26">BW7+BV7</f>
        <v>10721394</v>
      </c>
      <c r="BY7" s="50">
        <v>179100</v>
      </c>
      <c r="BZ7" s="50"/>
      <c r="CA7" s="50">
        <f t="shared" si="2"/>
        <v>179100</v>
      </c>
      <c r="CB7" s="50">
        <v>4830026</v>
      </c>
      <c r="CC7" s="50">
        <v>5930857</v>
      </c>
      <c r="CD7" s="50">
        <f t="shared" ref="CD7:CD19" si="27">CC7+CB7</f>
        <v>10760883</v>
      </c>
      <c r="CE7" s="50"/>
      <c r="CF7" s="50"/>
      <c r="CG7" s="50">
        <f t="shared" ref="CG7:CG19" si="28">CF7+CE7</f>
        <v>0</v>
      </c>
      <c r="CH7" s="50"/>
      <c r="CI7" s="50"/>
      <c r="CJ7" s="50">
        <f t="shared" ref="CJ7:CJ19" si="29">CI7+CH7</f>
        <v>0</v>
      </c>
      <c r="CK7" s="50">
        <v>40416</v>
      </c>
      <c r="CL7" s="50">
        <v>618894</v>
      </c>
      <c r="CM7" s="50">
        <f t="shared" si="3"/>
        <v>659310</v>
      </c>
      <c r="CN7" s="50"/>
      <c r="CO7" s="50"/>
      <c r="CP7" s="50">
        <f t="shared" ref="CP7:CP17" si="30">CO7+CN7</f>
        <v>0</v>
      </c>
      <c r="CQ7" s="50">
        <v>5393</v>
      </c>
      <c r="CR7" s="50">
        <v>42892</v>
      </c>
      <c r="CS7" s="50">
        <f t="shared" si="4"/>
        <v>48285</v>
      </c>
    </row>
    <row r="8" spans="1:97" ht="15" customHeight="1" x14ac:dyDescent="0.25">
      <c r="A8" s="51" t="s">
        <v>183</v>
      </c>
      <c r="B8" s="50"/>
      <c r="C8" s="50"/>
      <c r="D8" s="50">
        <f t="shared" si="0"/>
        <v>0</v>
      </c>
      <c r="E8" s="50"/>
      <c r="F8" s="50"/>
      <c r="G8" s="50">
        <f t="shared" si="5"/>
        <v>0</v>
      </c>
      <c r="H8" s="50"/>
      <c r="I8" s="50"/>
      <c r="J8" s="50">
        <f t="shared" ref="J8:J17" si="31">I8+H8</f>
        <v>0</v>
      </c>
      <c r="K8" s="50"/>
      <c r="L8" s="50"/>
      <c r="M8" s="50">
        <f t="shared" si="6"/>
        <v>0</v>
      </c>
      <c r="N8" s="50"/>
      <c r="O8" s="50"/>
      <c r="P8" s="50">
        <f t="shared" si="7"/>
        <v>0</v>
      </c>
      <c r="Q8" s="50"/>
      <c r="R8" s="50"/>
      <c r="S8" s="50">
        <f t="shared" si="8"/>
        <v>0</v>
      </c>
      <c r="T8" s="50"/>
      <c r="U8" s="50"/>
      <c r="V8" s="50">
        <f t="shared" si="9"/>
        <v>0</v>
      </c>
      <c r="W8" s="50"/>
      <c r="X8" s="50"/>
      <c r="Y8" s="50">
        <f t="shared" si="10"/>
        <v>0</v>
      </c>
      <c r="Z8" s="50"/>
      <c r="AA8" s="50"/>
      <c r="AB8" s="50">
        <f t="shared" si="11"/>
        <v>0</v>
      </c>
      <c r="AC8" s="50"/>
      <c r="AD8" s="50"/>
      <c r="AE8" s="50">
        <f t="shared" si="12"/>
        <v>0</v>
      </c>
      <c r="AF8" s="50"/>
      <c r="AG8" s="50"/>
      <c r="AH8" s="50">
        <f t="shared" si="13"/>
        <v>0</v>
      </c>
      <c r="AI8" s="50"/>
      <c r="AJ8" s="50"/>
      <c r="AK8" s="50">
        <f t="shared" si="14"/>
        <v>0</v>
      </c>
      <c r="AL8" s="50"/>
      <c r="AM8" s="50"/>
      <c r="AN8" s="50">
        <f t="shared" si="15"/>
        <v>0</v>
      </c>
      <c r="AO8" s="50"/>
      <c r="AP8" s="50"/>
      <c r="AQ8" s="50">
        <f t="shared" si="16"/>
        <v>0</v>
      </c>
      <c r="AR8" s="50"/>
      <c r="AS8" s="50"/>
      <c r="AT8" s="50">
        <f t="shared" si="17"/>
        <v>0</v>
      </c>
      <c r="AU8" s="50"/>
      <c r="AV8" s="50"/>
      <c r="AW8" s="50">
        <f t="shared" si="18"/>
        <v>0</v>
      </c>
      <c r="AX8" s="50"/>
      <c r="AY8" s="50"/>
      <c r="AZ8" s="50">
        <f t="shared" si="19"/>
        <v>0</v>
      </c>
      <c r="BA8" s="50"/>
      <c r="BB8" s="50"/>
      <c r="BC8" s="50">
        <f t="shared" si="20"/>
        <v>0</v>
      </c>
      <c r="BD8" s="50"/>
      <c r="BE8" s="50"/>
      <c r="BF8" s="50">
        <f t="shared" si="21"/>
        <v>0</v>
      </c>
      <c r="BG8" s="50"/>
      <c r="BH8" s="50"/>
      <c r="BI8" s="50">
        <f t="shared" si="22"/>
        <v>0</v>
      </c>
      <c r="BJ8" s="50"/>
      <c r="BK8" s="50"/>
      <c r="BL8" s="50">
        <f t="shared" si="23"/>
        <v>0</v>
      </c>
      <c r="BM8" s="50"/>
      <c r="BN8" s="50"/>
      <c r="BO8" s="50">
        <f t="shared" si="1"/>
        <v>0</v>
      </c>
      <c r="BP8" s="50"/>
      <c r="BQ8" s="50"/>
      <c r="BR8" s="50">
        <f t="shared" si="24"/>
        <v>0</v>
      </c>
      <c r="BS8" s="50"/>
      <c r="BT8" s="50"/>
      <c r="BU8" s="50">
        <f t="shared" si="25"/>
        <v>0</v>
      </c>
      <c r="BV8" s="50"/>
      <c r="BW8" s="50"/>
      <c r="BX8" s="50">
        <f t="shared" si="26"/>
        <v>0</v>
      </c>
      <c r="BY8" s="50"/>
      <c r="BZ8" s="50"/>
      <c r="CA8" s="50">
        <f t="shared" si="2"/>
        <v>0</v>
      </c>
      <c r="CB8" s="50"/>
      <c r="CC8" s="50"/>
      <c r="CD8" s="50">
        <f t="shared" si="27"/>
        <v>0</v>
      </c>
      <c r="CE8" s="50"/>
      <c r="CF8" s="50"/>
      <c r="CG8" s="50">
        <f t="shared" si="28"/>
        <v>0</v>
      </c>
      <c r="CH8" s="50"/>
      <c r="CI8" s="50"/>
      <c r="CJ8" s="50">
        <f t="shared" si="29"/>
        <v>0</v>
      </c>
      <c r="CK8" s="50"/>
      <c r="CL8" s="50"/>
      <c r="CM8" s="50">
        <f t="shared" si="3"/>
        <v>0</v>
      </c>
      <c r="CN8" s="50"/>
      <c r="CO8" s="50"/>
      <c r="CP8" s="50">
        <f t="shared" si="30"/>
        <v>0</v>
      </c>
      <c r="CQ8" s="50"/>
      <c r="CR8" s="50"/>
      <c r="CS8" s="50">
        <f t="shared" si="4"/>
        <v>0</v>
      </c>
    </row>
    <row r="9" spans="1:97" ht="15" customHeight="1" x14ac:dyDescent="0.25">
      <c r="A9" s="51" t="s">
        <v>184</v>
      </c>
      <c r="B9" s="50"/>
      <c r="C9" s="50"/>
      <c r="D9" s="50">
        <f t="shared" si="0"/>
        <v>0</v>
      </c>
      <c r="E9" s="50"/>
      <c r="F9" s="50"/>
      <c r="G9" s="50">
        <f t="shared" si="5"/>
        <v>0</v>
      </c>
      <c r="H9" s="50"/>
      <c r="I9" s="50"/>
      <c r="J9" s="50">
        <f t="shared" si="31"/>
        <v>0</v>
      </c>
      <c r="K9" s="50"/>
      <c r="L9" s="50"/>
      <c r="M9" s="50">
        <f t="shared" si="6"/>
        <v>0</v>
      </c>
      <c r="N9" s="50"/>
      <c r="O9" s="50"/>
      <c r="P9" s="50">
        <f t="shared" si="7"/>
        <v>0</v>
      </c>
      <c r="Q9" s="50"/>
      <c r="R9" s="50"/>
      <c r="S9" s="50">
        <f t="shared" si="8"/>
        <v>0</v>
      </c>
      <c r="T9" s="50"/>
      <c r="U9" s="50"/>
      <c r="V9" s="50">
        <f t="shared" si="9"/>
        <v>0</v>
      </c>
      <c r="W9" s="50"/>
      <c r="X9" s="50"/>
      <c r="Y9" s="50">
        <f t="shared" si="10"/>
        <v>0</v>
      </c>
      <c r="Z9" s="50"/>
      <c r="AA9" s="50"/>
      <c r="AB9" s="50">
        <f t="shared" si="11"/>
        <v>0</v>
      </c>
      <c r="AC9" s="50"/>
      <c r="AD9" s="50"/>
      <c r="AE9" s="50">
        <f t="shared" si="12"/>
        <v>0</v>
      </c>
      <c r="AF9" s="50"/>
      <c r="AG9" s="50"/>
      <c r="AH9" s="50">
        <f t="shared" si="13"/>
        <v>0</v>
      </c>
      <c r="AI9" s="50"/>
      <c r="AJ9" s="50"/>
      <c r="AK9" s="50">
        <f t="shared" si="14"/>
        <v>0</v>
      </c>
      <c r="AL9" s="50"/>
      <c r="AM9" s="50"/>
      <c r="AN9" s="50">
        <f t="shared" si="15"/>
        <v>0</v>
      </c>
      <c r="AO9" s="50"/>
      <c r="AP9" s="50"/>
      <c r="AQ9" s="50">
        <f t="shared" si="16"/>
        <v>0</v>
      </c>
      <c r="AR9" s="50"/>
      <c r="AS9" s="50"/>
      <c r="AT9" s="50">
        <f t="shared" si="17"/>
        <v>0</v>
      </c>
      <c r="AU9" s="50"/>
      <c r="AV9" s="50"/>
      <c r="AW9" s="50">
        <f t="shared" si="18"/>
        <v>0</v>
      </c>
      <c r="AX9" s="50"/>
      <c r="AY9" s="50"/>
      <c r="AZ9" s="50">
        <f t="shared" si="19"/>
        <v>0</v>
      </c>
      <c r="BA9" s="50"/>
      <c r="BB9" s="50"/>
      <c r="BC9" s="50">
        <f t="shared" si="20"/>
        <v>0</v>
      </c>
      <c r="BD9" s="50"/>
      <c r="BE9" s="50"/>
      <c r="BF9" s="50">
        <f t="shared" si="21"/>
        <v>0</v>
      </c>
      <c r="BG9" s="50"/>
      <c r="BH9" s="50"/>
      <c r="BI9" s="50">
        <f t="shared" si="22"/>
        <v>0</v>
      </c>
      <c r="BJ9" s="50"/>
      <c r="BK9" s="50"/>
      <c r="BL9" s="50">
        <f t="shared" si="23"/>
        <v>0</v>
      </c>
      <c r="BM9" s="50"/>
      <c r="BN9" s="50"/>
      <c r="BO9" s="50">
        <f t="shared" si="1"/>
        <v>0</v>
      </c>
      <c r="BP9" s="50"/>
      <c r="BQ9" s="50"/>
      <c r="BR9" s="50">
        <f t="shared" si="24"/>
        <v>0</v>
      </c>
      <c r="BS9" s="50"/>
      <c r="BT9" s="50"/>
      <c r="BU9" s="50">
        <f t="shared" si="25"/>
        <v>0</v>
      </c>
      <c r="BV9" s="50"/>
      <c r="BW9" s="50"/>
      <c r="BX9" s="50">
        <f t="shared" si="26"/>
        <v>0</v>
      </c>
      <c r="BY9" s="50"/>
      <c r="BZ9" s="50"/>
      <c r="CA9" s="50">
        <f t="shared" si="2"/>
        <v>0</v>
      </c>
      <c r="CB9" s="50"/>
      <c r="CC9" s="50"/>
      <c r="CD9" s="50">
        <f t="shared" si="27"/>
        <v>0</v>
      </c>
      <c r="CE9" s="50"/>
      <c r="CF9" s="50"/>
      <c r="CG9" s="50">
        <f t="shared" si="28"/>
        <v>0</v>
      </c>
      <c r="CH9" s="50"/>
      <c r="CI9" s="50"/>
      <c r="CJ9" s="50">
        <f t="shared" si="29"/>
        <v>0</v>
      </c>
      <c r="CK9" s="50"/>
      <c r="CL9" s="50"/>
      <c r="CM9" s="50">
        <f t="shared" si="3"/>
        <v>0</v>
      </c>
      <c r="CN9" s="50"/>
      <c r="CO9" s="50"/>
      <c r="CP9" s="50">
        <f t="shared" si="30"/>
        <v>0</v>
      </c>
      <c r="CQ9" s="50"/>
      <c r="CR9" s="50"/>
      <c r="CS9" s="50">
        <f t="shared" si="4"/>
        <v>0</v>
      </c>
    </row>
    <row r="10" spans="1:97" ht="15" customHeight="1" x14ac:dyDescent="0.25">
      <c r="A10" s="51" t="s">
        <v>185</v>
      </c>
      <c r="B10" s="50"/>
      <c r="C10" s="50"/>
      <c r="D10" s="50">
        <f t="shared" si="0"/>
        <v>0</v>
      </c>
      <c r="E10" s="50"/>
      <c r="F10" s="50"/>
      <c r="G10" s="50">
        <f t="shared" si="5"/>
        <v>0</v>
      </c>
      <c r="H10" s="50"/>
      <c r="I10" s="50"/>
      <c r="J10" s="50">
        <v>3077224</v>
      </c>
      <c r="K10" s="50">
        <v>5199117</v>
      </c>
      <c r="L10" s="50">
        <v>12177911</v>
      </c>
      <c r="M10" s="50">
        <f t="shared" si="6"/>
        <v>17377028</v>
      </c>
      <c r="N10" s="50">
        <v>271188</v>
      </c>
      <c r="O10" s="50">
        <v>1671417</v>
      </c>
      <c r="P10" s="50">
        <f t="shared" si="7"/>
        <v>1942605</v>
      </c>
      <c r="Q10" s="50">
        <v>104740</v>
      </c>
      <c r="R10" s="50">
        <v>889043</v>
      </c>
      <c r="S10" s="50">
        <f t="shared" si="8"/>
        <v>993783</v>
      </c>
      <c r="T10" s="50">
        <v>7311762.2000000002</v>
      </c>
      <c r="U10" s="50">
        <v>9692335.9399999995</v>
      </c>
      <c r="V10" s="50">
        <f t="shared" si="9"/>
        <v>17004098.140000001</v>
      </c>
      <c r="W10" s="50"/>
      <c r="X10" s="50"/>
      <c r="Y10" s="50">
        <f t="shared" si="10"/>
        <v>0</v>
      </c>
      <c r="Z10" s="50">
        <v>298</v>
      </c>
      <c r="AA10" s="50">
        <v>1045</v>
      </c>
      <c r="AB10" s="50">
        <f t="shared" si="11"/>
        <v>1343</v>
      </c>
      <c r="AC10" s="50"/>
      <c r="AD10" s="50">
        <v>1149449</v>
      </c>
      <c r="AE10" s="50">
        <f t="shared" si="12"/>
        <v>1149449</v>
      </c>
      <c r="AF10" s="50">
        <v>496333</v>
      </c>
      <c r="AG10" s="50">
        <v>2026772</v>
      </c>
      <c r="AH10" s="50">
        <f t="shared" si="13"/>
        <v>2523105</v>
      </c>
      <c r="AI10" s="50">
        <v>7814517</v>
      </c>
      <c r="AJ10" s="50">
        <v>24703778</v>
      </c>
      <c r="AK10" s="50">
        <f t="shared" si="14"/>
        <v>32518295</v>
      </c>
      <c r="AL10" s="50">
        <v>5473</v>
      </c>
      <c r="AM10" s="50">
        <v>18603</v>
      </c>
      <c r="AN10" s="50">
        <f t="shared" si="15"/>
        <v>24076</v>
      </c>
      <c r="AO10" s="50"/>
      <c r="AP10" s="50"/>
      <c r="AQ10" s="50">
        <f t="shared" si="16"/>
        <v>0</v>
      </c>
      <c r="AR10" s="50"/>
      <c r="AS10" s="50"/>
      <c r="AT10" s="50">
        <f t="shared" si="17"/>
        <v>0</v>
      </c>
      <c r="AU10" s="50"/>
      <c r="AV10" s="50"/>
      <c r="AW10" s="50">
        <f t="shared" si="18"/>
        <v>0</v>
      </c>
      <c r="AX10" s="50"/>
      <c r="AY10" s="50"/>
      <c r="AZ10" s="50">
        <f t="shared" si="19"/>
        <v>0</v>
      </c>
      <c r="BA10" s="50"/>
      <c r="BB10" s="50"/>
      <c r="BC10" s="50">
        <f t="shared" si="20"/>
        <v>0</v>
      </c>
      <c r="BD10" s="50">
        <v>2239904.2081194986</v>
      </c>
      <c r="BE10" s="50">
        <v>95568280</v>
      </c>
      <c r="BF10" s="50">
        <f t="shared" si="21"/>
        <v>97808184.208119497</v>
      </c>
      <c r="BG10" s="50"/>
      <c r="BH10" s="50"/>
      <c r="BI10" s="50">
        <f t="shared" si="22"/>
        <v>0</v>
      </c>
      <c r="BJ10" s="50"/>
      <c r="BK10" s="50"/>
      <c r="BL10" s="50">
        <f t="shared" si="23"/>
        <v>0</v>
      </c>
      <c r="BM10" s="50"/>
      <c r="BN10" s="50"/>
      <c r="BO10" s="50">
        <f t="shared" si="1"/>
        <v>0</v>
      </c>
      <c r="BP10" s="50">
        <v>10753</v>
      </c>
      <c r="BQ10" s="50"/>
      <c r="BR10" s="50">
        <f t="shared" si="24"/>
        <v>10753</v>
      </c>
      <c r="BS10" s="50">
        <v>50076</v>
      </c>
      <c r="BT10" s="50">
        <v>231553</v>
      </c>
      <c r="BU10" s="50">
        <f t="shared" si="25"/>
        <v>281629</v>
      </c>
      <c r="BV10" s="50">
        <v>5680389</v>
      </c>
      <c r="BW10" s="50"/>
      <c r="BX10" s="50">
        <f t="shared" si="26"/>
        <v>5680389</v>
      </c>
      <c r="BY10" s="50">
        <v>1232467</v>
      </c>
      <c r="BZ10" s="50"/>
      <c r="CA10" s="50">
        <f t="shared" si="2"/>
        <v>1232467</v>
      </c>
      <c r="CB10" s="50"/>
      <c r="CC10" s="50"/>
      <c r="CD10" s="50">
        <f t="shared" si="27"/>
        <v>0</v>
      </c>
      <c r="CE10" s="50">
        <v>2421683</v>
      </c>
      <c r="CF10" s="50">
        <v>9678801</v>
      </c>
      <c r="CG10" s="50">
        <f t="shared" si="28"/>
        <v>12100484</v>
      </c>
      <c r="CH10" s="50">
        <v>68549085</v>
      </c>
      <c r="CI10" s="50">
        <v>159788278</v>
      </c>
      <c r="CJ10" s="50">
        <f t="shared" si="29"/>
        <v>228337363</v>
      </c>
      <c r="CK10" s="50">
        <v>3886311</v>
      </c>
      <c r="CL10" s="50">
        <v>59511908</v>
      </c>
      <c r="CM10" s="50">
        <f t="shared" si="3"/>
        <v>63398219</v>
      </c>
      <c r="CN10" s="50"/>
      <c r="CO10" s="50"/>
      <c r="CP10" s="50">
        <v>71942427</v>
      </c>
      <c r="CQ10" s="50"/>
      <c r="CR10" s="50"/>
      <c r="CS10" s="50">
        <f t="shared" si="4"/>
        <v>0</v>
      </c>
    </row>
    <row r="11" spans="1:97" ht="15" customHeight="1" x14ac:dyDescent="0.25">
      <c r="A11" s="51" t="s">
        <v>186</v>
      </c>
      <c r="B11" s="50"/>
      <c r="C11" s="50"/>
      <c r="D11" s="50">
        <f t="shared" si="0"/>
        <v>0</v>
      </c>
      <c r="E11" s="50"/>
      <c r="F11" s="50"/>
      <c r="G11" s="50">
        <f t="shared" si="5"/>
        <v>0</v>
      </c>
      <c r="H11" s="50"/>
      <c r="I11" s="50"/>
      <c r="J11" s="50">
        <f t="shared" si="31"/>
        <v>0</v>
      </c>
      <c r="K11" s="50"/>
      <c r="L11" s="50">
        <v>329867</v>
      </c>
      <c r="M11" s="50">
        <f t="shared" si="6"/>
        <v>329867</v>
      </c>
      <c r="N11" s="50"/>
      <c r="O11" s="50"/>
      <c r="P11" s="50">
        <f t="shared" si="7"/>
        <v>0</v>
      </c>
      <c r="Q11" s="50"/>
      <c r="R11" s="50"/>
      <c r="S11" s="50">
        <f t="shared" si="8"/>
        <v>0</v>
      </c>
      <c r="T11" s="50"/>
      <c r="U11" s="50"/>
      <c r="V11" s="50">
        <f t="shared" si="9"/>
        <v>0</v>
      </c>
      <c r="W11" s="50">
        <v>7950</v>
      </c>
      <c r="X11" s="50"/>
      <c r="Y11" s="50">
        <f t="shared" si="10"/>
        <v>7950</v>
      </c>
      <c r="Z11" s="50"/>
      <c r="AA11" s="50"/>
      <c r="AB11" s="50">
        <f t="shared" si="11"/>
        <v>0</v>
      </c>
      <c r="AC11" s="50"/>
      <c r="AD11" s="50"/>
      <c r="AE11" s="50">
        <f t="shared" si="12"/>
        <v>0</v>
      </c>
      <c r="AF11" s="50">
        <v>6520</v>
      </c>
      <c r="AG11" s="50">
        <v>26623</v>
      </c>
      <c r="AH11" s="50">
        <f t="shared" si="13"/>
        <v>33143</v>
      </c>
      <c r="AI11" s="50">
        <v>85761</v>
      </c>
      <c r="AJ11" s="50">
        <v>271115</v>
      </c>
      <c r="AK11" s="50">
        <f t="shared" si="14"/>
        <v>356876</v>
      </c>
      <c r="AL11" s="50"/>
      <c r="AM11" s="50"/>
      <c r="AN11" s="50">
        <f t="shared" si="15"/>
        <v>0</v>
      </c>
      <c r="AO11" s="50"/>
      <c r="AP11" s="50"/>
      <c r="AQ11" s="50">
        <f t="shared" si="16"/>
        <v>0</v>
      </c>
      <c r="AR11" s="50"/>
      <c r="AS11" s="50"/>
      <c r="AT11" s="50">
        <f t="shared" si="17"/>
        <v>0</v>
      </c>
      <c r="AU11" s="50">
        <v>2554</v>
      </c>
      <c r="AV11" s="50">
        <v>17069</v>
      </c>
      <c r="AW11" s="50">
        <f t="shared" si="18"/>
        <v>19623</v>
      </c>
      <c r="AX11" s="50"/>
      <c r="AY11" s="50"/>
      <c r="AZ11" s="50">
        <f t="shared" si="19"/>
        <v>0</v>
      </c>
      <c r="BA11" s="50"/>
      <c r="BB11" s="50"/>
      <c r="BC11" s="50">
        <f t="shared" si="20"/>
        <v>0</v>
      </c>
      <c r="BD11" s="50">
        <v>64.191473950267323</v>
      </c>
      <c r="BE11" s="50">
        <v>2739</v>
      </c>
      <c r="BF11" s="50">
        <f t="shared" si="21"/>
        <v>2803.1914739502672</v>
      </c>
      <c r="BG11" s="50"/>
      <c r="BH11" s="50"/>
      <c r="BI11" s="50">
        <f t="shared" si="22"/>
        <v>0</v>
      </c>
      <c r="BJ11" s="50"/>
      <c r="BK11" s="50"/>
      <c r="BL11" s="50">
        <f t="shared" si="23"/>
        <v>0</v>
      </c>
      <c r="BM11" s="50"/>
      <c r="BN11" s="50"/>
      <c r="BO11" s="50">
        <f t="shared" si="1"/>
        <v>0</v>
      </c>
      <c r="BP11" s="50"/>
      <c r="BQ11" s="50"/>
      <c r="BR11" s="50">
        <f t="shared" si="24"/>
        <v>0</v>
      </c>
      <c r="BS11" s="50"/>
      <c r="BT11" s="50"/>
      <c r="BU11" s="50">
        <f t="shared" si="25"/>
        <v>0</v>
      </c>
      <c r="BV11" s="50"/>
      <c r="BW11" s="50"/>
      <c r="BX11" s="50">
        <f t="shared" si="26"/>
        <v>0</v>
      </c>
      <c r="BY11" s="50"/>
      <c r="BZ11" s="50"/>
      <c r="CA11" s="50">
        <f t="shared" si="2"/>
        <v>0</v>
      </c>
      <c r="CB11" s="50"/>
      <c r="CC11" s="50"/>
      <c r="CD11" s="50">
        <f t="shared" si="27"/>
        <v>0</v>
      </c>
      <c r="CE11" s="50"/>
      <c r="CF11" s="50"/>
      <c r="CG11" s="50">
        <f t="shared" si="28"/>
        <v>0</v>
      </c>
      <c r="CH11" s="50"/>
      <c r="CI11" s="50"/>
      <c r="CJ11" s="50">
        <f t="shared" si="29"/>
        <v>0</v>
      </c>
      <c r="CK11" s="50">
        <v>811</v>
      </c>
      <c r="CL11" s="50">
        <v>12424</v>
      </c>
      <c r="CM11" s="50">
        <f t="shared" si="3"/>
        <v>13235</v>
      </c>
      <c r="CN11" s="50"/>
      <c r="CO11" s="50"/>
      <c r="CP11" s="50">
        <f t="shared" si="30"/>
        <v>0</v>
      </c>
      <c r="CQ11" s="50"/>
      <c r="CR11" s="50"/>
      <c r="CS11" s="50">
        <f t="shared" si="4"/>
        <v>0</v>
      </c>
    </row>
    <row r="12" spans="1:97" ht="15" customHeight="1" x14ac:dyDescent="0.25">
      <c r="A12" s="51" t="s">
        <v>187</v>
      </c>
      <c r="B12" s="50"/>
      <c r="C12" s="50"/>
      <c r="D12" s="50">
        <f t="shared" si="0"/>
        <v>0</v>
      </c>
      <c r="E12" s="50"/>
      <c r="F12" s="50"/>
      <c r="G12" s="50">
        <f t="shared" si="5"/>
        <v>0</v>
      </c>
      <c r="H12" s="50"/>
      <c r="I12" s="50"/>
      <c r="J12" s="50">
        <f t="shared" si="31"/>
        <v>0</v>
      </c>
      <c r="K12" s="50"/>
      <c r="L12" s="50"/>
      <c r="M12" s="50">
        <f t="shared" si="6"/>
        <v>0</v>
      </c>
      <c r="N12" s="50"/>
      <c r="O12" s="50"/>
      <c r="P12" s="50">
        <f t="shared" si="7"/>
        <v>0</v>
      </c>
      <c r="Q12" s="50"/>
      <c r="R12" s="50"/>
      <c r="S12" s="50">
        <f t="shared" si="8"/>
        <v>0</v>
      </c>
      <c r="T12" s="50"/>
      <c r="U12" s="50"/>
      <c r="V12" s="50">
        <f t="shared" si="9"/>
        <v>0</v>
      </c>
      <c r="W12" s="50"/>
      <c r="X12" s="50"/>
      <c r="Y12" s="50">
        <f t="shared" si="10"/>
        <v>0</v>
      </c>
      <c r="Z12" s="50"/>
      <c r="AA12" s="50"/>
      <c r="AB12" s="50">
        <f t="shared" si="11"/>
        <v>0</v>
      </c>
      <c r="AC12" s="50"/>
      <c r="AD12" s="50"/>
      <c r="AE12" s="50">
        <f t="shared" si="12"/>
        <v>0</v>
      </c>
      <c r="AF12" s="50">
        <v>18944</v>
      </c>
      <c r="AG12" s="50">
        <v>77358</v>
      </c>
      <c r="AH12" s="50">
        <f t="shared" si="13"/>
        <v>96302</v>
      </c>
      <c r="AI12" s="50"/>
      <c r="AJ12" s="50"/>
      <c r="AK12" s="50">
        <f t="shared" si="14"/>
        <v>0</v>
      </c>
      <c r="AL12" s="50"/>
      <c r="AM12" s="50"/>
      <c r="AN12" s="50">
        <f t="shared" si="15"/>
        <v>0</v>
      </c>
      <c r="AO12" s="50"/>
      <c r="AP12" s="50"/>
      <c r="AQ12" s="50">
        <f t="shared" si="16"/>
        <v>0</v>
      </c>
      <c r="AR12" s="50"/>
      <c r="AS12" s="50"/>
      <c r="AT12" s="50">
        <f t="shared" si="17"/>
        <v>0</v>
      </c>
      <c r="AU12" s="50"/>
      <c r="AV12" s="50"/>
      <c r="AW12" s="50">
        <f t="shared" si="18"/>
        <v>0</v>
      </c>
      <c r="AX12" s="50"/>
      <c r="AY12" s="50"/>
      <c r="AZ12" s="50">
        <f t="shared" si="19"/>
        <v>0</v>
      </c>
      <c r="BA12" s="50"/>
      <c r="BB12" s="50"/>
      <c r="BC12" s="50">
        <f t="shared" si="20"/>
        <v>0</v>
      </c>
      <c r="BD12" s="50">
        <v>9827.1352667481315</v>
      </c>
      <c r="BE12" s="50">
        <v>419287</v>
      </c>
      <c r="BF12" s="50">
        <f t="shared" si="21"/>
        <v>429114.13526674814</v>
      </c>
      <c r="BG12" s="50"/>
      <c r="BH12" s="50"/>
      <c r="BI12" s="50">
        <f t="shared" si="22"/>
        <v>0</v>
      </c>
      <c r="BJ12" s="50"/>
      <c r="BK12" s="50"/>
      <c r="BL12" s="50">
        <f t="shared" si="23"/>
        <v>0</v>
      </c>
      <c r="BM12" s="50"/>
      <c r="BN12" s="50"/>
      <c r="BO12" s="50">
        <f t="shared" si="1"/>
        <v>0</v>
      </c>
      <c r="BP12" s="50"/>
      <c r="BQ12" s="50"/>
      <c r="BR12" s="50">
        <f t="shared" si="24"/>
        <v>0</v>
      </c>
      <c r="BS12" s="50"/>
      <c r="BT12" s="50"/>
      <c r="BU12" s="50">
        <f t="shared" si="25"/>
        <v>0</v>
      </c>
      <c r="BV12" s="50"/>
      <c r="BW12" s="50"/>
      <c r="BX12" s="50">
        <f t="shared" si="26"/>
        <v>0</v>
      </c>
      <c r="BY12" s="50"/>
      <c r="BZ12" s="50"/>
      <c r="CA12" s="50">
        <f t="shared" si="2"/>
        <v>0</v>
      </c>
      <c r="CB12" s="50"/>
      <c r="CC12" s="50"/>
      <c r="CD12" s="50">
        <f t="shared" si="27"/>
        <v>0</v>
      </c>
      <c r="CE12" s="50"/>
      <c r="CF12" s="50"/>
      <c r="CG12" s="50">
        <f t="shared" si="28"/>
        <v>0</v>
      </c>
      <c r="CH12" s="50">
        <v>319529</v>
      </c>
      <c r="CI12" s="50">
        <v>745635</v>
      </c>
      <c r="CJ12" s="50">
        <f t="shared" si="29"/>
        <v>1065164</v>
      </c>
      <c r="CK12" s="50">
        <v>42902</v>
      </c>
      <c r="CL12" s="50">
        <v>656966</v>
      </c>
      <c r="CM12" s="50">
        <f t="shared" si="3"/>
        <v>699868</v>
      </c>
      <c r="CN12" s="50"/>
      <c r="CO12" s="50"/>
      <c r="CP12" s="50">
        <f t="shared" si="30"/>
        <v>0</v>
      </c>
      <c r="CQ12" s="50"/>
      <c r="CR12" s="50"/>
      <c r="CS12" s="50">
        <f t="shared" si="4"/>
        <v>0</v>
      </c>
    </row>
    <row r="13" spans="1:97" ht="15" customHeight="1" x14ac:dyDescent="0.25">
      <c r="A13" s="51" t="s">
        <v>188</v>
      </c>
      <c r="B13" s="50">
        <v>29470</v>
      </c>
      <c r="C13" s="50">
        <v>92596</v>
      </c>
      <c r="D13" s="50">
        <f t="shared" si="0"/>
        <v>122066</v>
      </c>
      <c r="E13" s="50">
        <v>102602</v>
      </c>
      <c r="F13" s="50">
        <v>951905</v>
      </c>
      <c r="G13" s="50">
        <f t="shared" si="5"/>
        <v>1054507</v>
      </c>
      <c r="H13" s="50"/>
      <c r="I13" s="50"/>
      <c r="J13" s="50">
        <v>8615587</v>
      </c>
      <c r="K13" s="50">
        <v>3828076</v>
      </c>
      <c r="L13" s="50">
        <v>25690442</v>
      </c>
      <c r="M13" s="50">
        <f t="shared" si="6"/>
        <v>29518518</v>
      </c>
      <c r="N13" s="50">
        <v>757276</v>
      </c>
      <c r="O13" s="50">
        <v>4667339</v>
      </c>
      <c r="P13" s="50">
        <f t="shared" si="7"/>
        <v>5424615</v>
      </c>
      <c r="Q13" s="50">
        <v>829766</v>
      </c>
      <c r="R13" s="50">
        <v>7043105</v>
      </c>
      <c r="S13" s="50">
        <f t="shared" si="8"/>
        <v>7872871</v>
      </c>
      <c r="T13" s="50">
        <v>6135232.5999999996</v>
      </c>
      <c r="U13" s="50">
        <v>8132750.2000000002</v>
      </c>
      <c r="V13" s="50">
        <f t="shared" si="9"/>
        <v>14267982.800000001</v>
      </c>
      <c r="W13" s="50">
        <v>105621</v>
      </c>
      <c r="X13" s="50">
        <v>99934</v>
      </c>
      <c r="Y13" s="50">
        <f t="shared" si="10"/>
        <v>205555</v>
      </c>
      <c r="Z13" s="50">
        <v>1818762</v>
      </c>
      <c r="AA13" s="50">
        <v>6385789</v>
      </c>
      <c r="AB13" s="50">
        <f t="shared" si="11"/>
        <v>8204551</v>
      </c>
      <c r="AC13" s="50"/>
      <c r="AD13" s="50">
        <v>3125565</v>
      </c>
      <c r="AE13" s="50">
        <f t="shared" si="12"/>
        <v>3125565</v>
      </c>
      <c r="AF13" s="50">
        <v>4866263</v>
      </c>
      <c r="AG13" s="50">
        <v>19871359</v>
      </c>
      <c r="AH13" s="50">
        <f t="shared" si="13"/>
        <v>24737622</v>
      </c>
      <c r="AI13" s="50">
        <v>10828801</v>
      </c>
      <c r="AJ13" s="50">
        <v>34232740</v>
      </c>
      <c r="AK13" s="50">
        <f t="shared" si="14"/>
        <v>45061541</v>
      </c>
      <c r="AL13" s="50">
        <v>2775938</v>
      </c>
      <c r="AM13" s="50">
        <v>9436296</v>
      </c>
      <c r="AN13" s="50">
        <f t="shared" si="15"/>
        <v>12212234</v>
      </c>
      <c r="AO13" s="50">
        <v>84106</v>
      </c>
      <c r="AP13" s="50">
        <v>275523</v>
      </c>
      <c r="AQ13" s="50">
        <f t="shared" si="16"/>
        <v>359629</v>
      </c>
      <c r="AR13" s="50">
        <v>2622392</v>
      </c>
      <c r="AS13" s="50">
        <v>6966657</v>
      </c>
      <c r="AT13" s="50">
        <f t="shared" si="17"/>
        <v>9589049</v>
      </c>
      <c r="AU13" s="50">
        <v>329140</v>
      </c>
      <c r="AV13" s="50">
        <v>2199352</v>
      </c>
      <c r="AW13" s="50">
        <f t="shared" si="18"/>
        <v>2528492</v>
      </c>
      <c r="AX13" s="50">
        <v>251937</v>
      </c>
      <c r="AY13" s="50" t="s">
        <v>315</v>
      </c>
      <c r="AZ13" s="50" t="e">
        <f t="shared" si="19"/>
        <v>#VALUE!</v>
      </c>
      <c r="BA13" s="50">
        <v>301012</v>
      </c>
      <c r="BB13" s="50">
        <v>2264973</v>
      </c>
      <c r="BC13" s="50">
        <f t="shared" si="20"/>
        <v>2565985</v>
      </c>
      <c r="BD13" s="50">
        <v>732318.45718063822</v>
      </c>
      <c r="BE13" s="50">
        <v>31245272</v>
      </c>
      <c r="BF13" s="50">
        <f t="shared" si="21"/>
        <v>31977590.457180638</v>
      </c>
      <c r="BG13" s="50">
        <v>1159526</v>
      </c>
      <c r="BH13" s="50">
        <v>551009</v>
      </c>
      <c r="BI13" s="50">
        <f t="shared" si="22"/>
        <v>1710535</v>
      </c>
      <c r="BJ13" s="50">
        <v>311042</v>
      </c>
      <c r="BK13" s="50">
        <v>920113</v>
      </c>
      <c r="BL13" s="50">
        <f t="shared" si="23"/>
        <v>1231155</v>
      </c>
      <c r="BM13" s="50">
        <v>6362431</v>
      </c>
      <c r="BN13" s="50">
        <v>36026206</v>
      </c>
      <c r="BO13" s="50">
        <f t="shared" si="1"/>
        <v>42388637</v>
      </c>
      <c r="BP13" s="50">
        <v>1810033</v>
      </c>
      <c r="BQ13" s="50">
        <v>2400221</v>
      </c>
      <c r="BR13" s="50">
        <f t="shared" si="24"/>
        <v>4210254</v>
      </c>
      <c r="BS13" s="50">
        <v>2101807</v>
      </c>
      <c r="BT13" s="50">
        <v>9718856</v>
      </c>
      <c r="BU13" s="50">
        <f t="shared" si="25"/>
        <v>11820663</v>
      </c>
      <c r="BV13" s="50">
        <v>4016954</v>
      </c>
      <c r="BW13" s="50">
        <v>9570362</v>
      </c>
      <c r="BX13" s="50">
        <f t="shared" si="26"/>
        <v>13587316</v>
      </c>
      <c r="BY13" s="50">
        <v>281075</v>
      </c>
      <c r="BZ13" s="50">
        <v>3165818</v>
      </c>
      <c r="CA13" s="50">
        <f t="shared" si="2"/>
        <v>3446893</v>
      </c>
      <c r="CB13" s="50"/>
      <c r="CC13" s="50"/>
      <c r="CD13" s="50">
        <f t="shared" si="27"/>
        <v>0</v>
      </c>
      <c r="CE13" s="50">
        <v>6892445</v>
      </c>
      <c r="CF13" s="50">
        <v>27547208</v>
      </c>
      <c r="CG13" s="50">
        <f t="shared" si="28"/>
        <v>34439653</v>
      </c>
      <c r="CH13" s="50">
        <v>7003065</v>
      </c>
      <c r="CI13" s="50">
        <v>16249194</v>
      </c>
      <c r="CJ13" s="50">
        <f t="shared" si="29"/>
        <v>23252259</v>
      </c>
      <c r="CK13" s="50">
        <v>507531</v>
      </c>
      <c r="CL13" s="50">
        <v>7771923</v>
      </c>
      <c r="CM13" s="50">
        <f t="shared" si="3"/>
        <v>8279454</v>
      </c>
      <c r="CN13" s="50"/>
      <c r="CO13" s="50"/>
      <c r="CP13" s="50">
        <v>19267636</v>
      </c>
      <c r="CQ13" s="50">
        <v>896323</v>
      </c>
      <c r="CR13" s="50">
        <v>7128014</v>
      </c>
      <c r="CS13" s="50">
        <f t="shared" si="4"/>
        <v>8024337</v>
      </c>
    </row>
    <row r="14" spans="1:97" ht="15" customHeight="1" x14ac:dyDescent="0.25">
      <c r="A14" s="51" t="s">
        <v>189</v>
      </c>
      <c r="B14" s="50"/>
      <c r="C14" s="50"/>
      <c r="D14" s="50">
        <f t="shared" si="0"/>
        <v>0</v>
      </c>
      <c r="E14" s="50"/>
      <c r="F14" s="50"/>
      <c r="G14" s="50">
        <f t="shared" si="5"/>
        <v>0</v>
      </c>
      <c r="H14" s="50"/>
      <c r="I14" s="50"/>
      <c r="J14" s="50">
        <f t="shared" si="31"/>
        <v>0</v>
      </c>
      <c r="K14" s="50">
        <v>104460</v>
      </c>
      <c r="L14" s="50">
        <v>1147186</v>
      </c>
      <c r="M14" s="50">
        <f t="shared" si="6"/>
        <v>1251646</v>
      </c>
      <c r="N14" s="50"/>
      <c r="O14" s="50"/>
      <c r="P14" s="50">
        <f t="shared" si="7"/>
        <v>0</v>
      </c>
      <c r="Q14" s="50">
        <v>16779</v>
      </c>
      <c r="R14" s="50">
        <v>142421</v>
      </c>
      <c r="S14" s="50">
        <f t="shared" si="8"/>
        <v>159200</v>
      </c>
      <c r="T14" s="50"/>
      <c r="U14" s="50"/>
      <c r="V14" s="50">
        <f t="shared" si="9"/>
        <v>0</v>
      </c>
      <c r="W14" s="50">
        <v>58500</v>
      </c>
      <c r="X14" s="50">
        <v>136500</v>
      </c>
      <c r="Y14" s="50">
        <f t="shared" si="10"/>
        <v>195000</v>
      </c>
      <c r="Z14" s="50"/>
      <c r="AA14" s="50"/>
      <c r="AB14" s="50">
        <f t="shared" si="11"/>
        <v>0</v>
      </c>
      <c r="AC14" s="50"/>
      <c r="AD14" s="50"/>
      <c r="AE14" s="50">
        <f t="shared" si="12"/>
        <v>0</v>
      </c>
      <c r="AF14" s="50">
        <v>30314</v>
      </c>
      <c r="AG14" s="50">
        <v>123786</v>
      </c>
      <c r="AH14" s="50">
        <f t="shared" si="13"/>
        <v>154100</v>
      </c>
      <c r="AI14" s="50">
        <v>3263879</v>
      </c>
      <c r="AJ14" s="50">
        <v>9598806</v>
      </c>
      <c r="AK14" s="50">
        <f t="shared" si="14"/>
        <v>12862685</v>
      </c>
      <c r="AL14" s="50"/>
      <c r="AM14" s="50"/>
      <c r="AN14" s="50">
        <f t="shared" si="15"/>
        <v>0</v>
      </c>
      <c r="AO14" s="50"/>
      <c r="AP14" s="50"/>
      <c r="AQ14" s="50">
        <f>AP14+AO14</f>
        <v>0</v>
      </c>
      <c r="AR14" s="50"/>
      <c r="AS14" s="50"/>
      <c r="AT14" s="50">
        <f t="shared" si="17"/>
        <v>0</v>
      </c>
      <c r="AU14" s="50">
        <v>39052</v>
      </c>
      <c r="AV14" s="50">
        <v>260948</v>
      </c>
      <c r="AW14" s="50">
        <f t="shared" si="18"/>
        <v>300000</v>
      </c>
      <c r="AX14" s="50"/>
      <c r="AY14" s="50"/>
      <c r="AZ14" s="50">
        <f t="shared" si="19"/>
        <v>0</v>
      </c>
      <c r="BA14" s="50"/>
      <c r="BB14" s="50"/>
      <c r="BC14" s="50">
        <f t="shared" si="20"/>
        <v>0</v>
      </c>
      <c r="BD14" s="50">
        <v>56766.286080522354</v>
      </c>
      <c r="BE14" s="50">
        <v>2422004</v>
      </c>
      <c r="BF14" s="50">
        <f t="shared" si="21"/>
        <v>2478770.2860805225</v>
      </c>
      <c r="BG14" s="50"/>
      <c r="BH14" s="50"/>
      <c r="BI14" s="50">
        <f t="shared" si="22"/>
        <v>0</v>
      </c>
      <c r="BJ14" s="50">
        <v>1550</v>
      </c>
      <c r="BK14" s="50">
        <v>4584</v>
      </c>
      <c r="BL14" s="50">
        <f t="shared" si="23"/>
        <v>6134</v>
      </c>
      <c r="BM14" s="50"/>
      <c r="BN14" s="50"/>
      <c r="BO14" s="50">
        <f t="shared" si="1"/>
        <v>0</v>
      </c>
      <c r="BP14" s="50"/>
      <c r="BQ14" s="50"/>
      <c r="BR14" s="50">
        <f t="shared" si="24"/>
        <v>0</v>
      </c>
      <c r="BS14" s="50"/>
      <c r="BT14" s="50"/>
      <c r="BU14" s="50">
        <f t="shared" si="25"/>
        <v>0</v>
      </c>
      <c r="BV14" s="50">
        <f>117355+14489+19900</f>
        <v>151744</v>
      </c>
      <c r="BW14" s="50"/>
      <c r="BX14" s="50">
        <f t="shared" si="26"/>
        <v>151744</v>
      </c>
      <c r="BY14" s="50"/>
      <c r="BZ14" s="50"/>
      <c r="CA14" s="50">
        <f t="shared" si="2"/>
        <v>0</v>
      </c>
      <c r="CB14" s="50"/>
      <c r="CC14" s="50"/>
      <c r="CD14" s="50">
        <f t="shared" si="27"/>
        <v>0</v>
      </c>
      <c r="CE14" s="50"/>
      <c r="CF14" s="50"/>
      <c r="CG14" s="50">
        <f t="shared" si="28"/>
        <v>0</v>
      </c>
      <c r="CH14" s="50"/>
      <c r="CI14" s="50"/>
      <c r="CJ14" s="50">
        <f t="shared" si="29"/>
        <v>0</v>
      </c>
      <c r="CK14" s="50">
        <v>22347</v>
      </c>
      <c r="CL14" s="50">
        <v>342202</v>
      </c>
      <c r="CM14" s="50">
        <f t="shared" si="3"/>
        <v>364549</v>
      </c>
      <c r="CN14" s="50"/>
      <c r="CO14" s="50"/>
      <c r="CP14" s="50">
        <f t="shared" si="30"/>
        <v>0</v>
      </c>
      <c r="CQ14" s="50"/>
      <c r="CR14" s="50"/>
      <c r="CS14" s="50">
        <f t="shared" si="4"/>
        <v>0</v>
      </c>
    </row>
    <row r="15" spans="1:97" ht="15" customHeight="1" x14ac:dyDescent="0.25">
      <c r="A15" s="51" t="s">
        <v>190</v>
      </c>
      <c r="B15" s="50"/>
      <c r="C15" s="50"/>
      <c r="D15" s="50">
        <f t="shared" si="0"/>
        <v>0</v>
      </c>
      <c r="E15" s="50"/>
      <c r="F15" s="50"/>
      <c r="G15" s="50">
        <f t="shared" si="5"/>
        <v>0</v>
      </c>
      <c r="H15" s="50"/>
      <c r="I15" s="50"/>
      <c r="J15" s="50">
        <f t="shared" si="31"/>
        <v>0</v>
      </c>
      <c r="K15" s="50"/>
      <c r="L15" s="50"/>
      <c r="M15" s="50">
        <f t="shared" si="6"/>
        <v>0</v>
      </c>
      <c r="N15" s="50"/>
      <c r="O15" s="50"/>
      <c r="P15" s="50">
        <f t="shared" si="7"/>
        <v>0</v>
      </c>
      <c r="Q15" s="50"/>
      <c r="R15" s="50"/>
      <c r="S15" s="50">
        <f t="shared" si="8"/>
        <v>0</v>
      </c>
      <c r="T15" s="50"/>
      <c r="U15" s="50"/>
      <c r="V15" s="50">
        <f t="shared" si="9"/>
        <v>0</v>
      </c>
      <c r="W15" s="50"/>
      <c r="X15" s="50"/>
      <c r="Y15" s="50">
        <f t="shared" si="10"/>
        <v>0</v>
      </c>
      <c r="Z15" s="50"/>
      <c r="AA15" s="50"/>
      <c r="AB15" s="50">
        <f t="shared" si="11"/>
        <v>0</v>
      </c>
      <c r="AC15" s="50"/>
      <c r="AD15" s="50"/>
      <c r="AE15" s="50">
        <f t="shared" si="12"/>
        <v>0</v>
      </c>
      <c r="AF15" s="50"/>
      <c r="AG15" s="50"/>
      <c r="AH15" s="50">
        <f t="shared" si="13"/>
        <v>0</v>
      </c>
      <c r="AI15" s="50"/>
      <c r="AJ15" s="50"/>
      <c r="AK15" s="50">
        <f t="shared" si="14"/>
        <v>0</v>
      </c>
      <c r="AL15" s="50">
        <v>535707</v>
      </c>
      <c r="AM15" s="50">
        <v>1821040</v>
      </c>
      <c r="AN15" s="50">
        <f t="shared" si="15"/>
        <v>2356747</v>
      </c>
      <c r="AO15" s="50"/>
      <c r="AP15" s="50"/>
      <c r="AQ15" s="50">
        <f t="shared" si="16"/>
        <v>0</v>
      </c>
      <c r="AR15" s="50"/>
      <c r="AS15" s="50"/>
      <c r="AT15" s="50">
        <f t="shared" si="17"/>
        <v>0</v>
      </c>
      <c r="AU15" s="50"/>
      <c r="AV15" s="50"/>
      <c r="AW15" s="50">
        <f t="shared" si="18"/>
        <v>0</v>
      </c>
      <c r="AX15" s="50"/>
      <c r="AY15" s="50"/>
      <c r="AZ15" s="50">
        <f t="shared" si="19"/>
        <v>0</v>
      </c>
      <c r="BA15" s="50"/>
      <c r="BB15" s="50"/>
      <c r="BC15" s="50">
        <f t="shared" si="20"/>
        <v>0</v>
      </c>
      <c r="BD15" s="50"/>
      <c r="BE15" s="50"/>
      <c r="BF15" s="50">
        <f t="shared" si="21"/>
        <v>0</v>
      </c>
      <c r="BG15" s="50"/>
      <c r="BH15" s="50"/>
      <c r="BI15" s="50">
        <f t="shared" si="22"/>
        <v>0</v>
      </c>
      <c r="BJ15" s="50"/>
      <c r="BK15" s="50"/>
      <c r="BL15" s="50">
        <f t="shared" si="23"/>
        <v>0</v>
      </c>
      <c r="BM15" s="50"/>
      <c r="BN15" s="50"/>
      <c r="BO15" s="50">
        <f t="shared" si="1"/>
        <v>0</v>
      </c>
      <c r="BP15" s="50"/>
      <c r="BQ15" s="50"/>
      <c r="BR15" s="50">
        <f t="shared" si="24"/>
        <v>0</v>
      </c>
      <c r="BS15" s="50"/>
      <c r="BT15" s="50"/>
      <c r="BU15" s="50">
        <f t="shared" si="25"/>
        <v>0</v>
      </c>
      <c r="BV15" s="50"/>
      <c r="BW15" s="50"/>
      <c r="BX15" s="50">
        <f t="shared" si="26"/>
        <v>0</v>
      </c>
      <c r="BY15" s="50"/>
      <c r="BZ15" s="50"/>
      <c r="CA15" s="50">
        <f t="shared" si="2"/>
        <v>0</v>
      </c>
      <c r="CB15" s="50"/>
      <c r="CC15" s="50"/>
      <c r="CD15" s="50">
        <f t="shared" si="27"/>
        <v>0</v>
      </c>
      <c r="CE15" s="50"/>
      <c r="CF15" s="50"/>
      <c r="CG15" s="50">
        <f t="shared" si="28"/>
        <v>0</v>
      </c>
      <c r="CH15" s="50"/>
      <c r="CI15" s="50"/>
      <c r="CJ15" s="50">
        <f t="shared" si="29"/>
        <v>0</v>
      </c>
      <c r="CK15" s="50"/>
      <c r="CL15" s="50"/>
      <c r="CM15" s="50">
        <f t="shared" si="3"/>
        <v>0</v>
      </c>
      <c r="CN15" s="50"/>
      <c r="CO15" s="50"/>
      <c r="CP15" s="50">
        <f t="shared" si="30"/>
        <v>0</v>
      </c>
      <c r="CQ15" s="50"/>
      <c r="CR15" s="50"/>
      <c r="CS15" s="50">
        <f t="shared" si="4"/>
        <v>0</v>
      </c>
    </row>
    <row r="16" spans="1:97" ht="15" customHeight="1" x14ac:dyDescent="0.25">
      <c r="A16" s="51" t="s">
        <v>191</v>
      </c>
      <c r="B16" s="50"/>
      <c r="C16" s="50"/>
      <c r="D16" s="50">
        <f t="shared" si="0"/>
        <v>0</v>
      </c>
      <c r="E16" s="50"/>
      <c r="F16" s="50"/>
      <c r="G16" s="50">
        <f t="shared" si="5"/>
        <v>0</v>
      </c>
      <c r="H16" s="50"/>
      <c r="I16" s="50"/>
      <c r="J16" s="50">
        <f t="shared" si="31"/>
        <v>0</v>
      </c>
      <c r="K16" s="50"/>
      <c r="L16" s="50"/>
      <c r="M16" s="50">
        <f t="shared" si="6"/>
        <v>0</v>
      </c>
      <c r="N16" s="50"/>
      <c r="O16" s="50"/>
      <c r="P16" s="50">
        <f t="shared" si="7"/>
        <v>0</v>
      </c>
      <c r="Q16" s="50"/>
      <c r="R16" s="50"/>
      <c r="S16" s="50">
        <f t="shared" si="8"/>
        <v>0</v>
      </c>
      <c r="T16" s="50"/>
      <c r="U16" s="50"/>
      <c r="V16" s="50">
        <f t="shared" si="9"/>
        <v>0</v>
      </c>
      <c r="W16" s="50"/>
      <c r="X16" s="50"/>
      <c r="Y16" s="50">
        <f t="shared" si="10"/>
        <v>0</v>
      </c>
      <c r="Z16" s="50"/>
      <c r="AA16" s="50"/>
      <c r="AB16" s="50">
        <f t="shared" si="11"/>
        <v>0</v>
      </c>
      <c r="AC16" s="50"/>
      <c r="AD16" s="50"/>
      <c r="AE16" s="50">
        <f t="shared" si="12"/>
        <v>0</v>
      </c>
      <c r="AF16" s="50"/>
      <c r="AG16" s="50"/>
      <c r="AH16" s="50">
        <f t="shared" si="13"/>
        <v>0</v>
      </c>
      <c r="AI16" s="50"/>
      <c r="AJ16" s="50"/>
      <c r="AK16" s="50">
        <f t="shared" si="14"/>
        <v>0</v>
      </c>
      <c r="AL16" s="50">
        <v>1137</v>
      </c>
      <c r="AM16" s="50">
        <v>3863</v>
      </c>
      <c r="AN16" s="50">
        <f t="shared" si="15"/>
        <v>5000</v>
      </c>
      <c r="AO16" s="50"/>
      <c r="AP16" s="50"/>
      <c r="AQ16" s="50">
        <f t="shared" si="16"/>
        <v>0</v>
      </c>
      <c r="AR16" s="50"/>
      <c r="AS16" s="50"/>
      <c r="AT16" s="50">
        <f t="shared" si="17"/>
        <v>0</v>
      </c>
      <c r="AU16" s="50"/>
      <c r="AV16" s="50"/>
      <c r="AW16" s="50">
        <f t="shared" si="18"/>
        <v>0</v>
      </c>
      <c r="AX16" s="50"/>
      <c r="AY16" s="50"/>
      <c r="AZ16" s="50">
        <f t="shared" si="19"/>
        <v>0</v>
      </c>
      <c r="BA16" s="50"/>
      <c r="BB16" s="50"/>
      <c r="BC16" s="50">
        <f t="shared" si="20"/>
        <v>0</v>
      </c>
      <c r="BD16" s="50"/>
      <c r="BE16" s="50"/>
      <c r="BF16" s="50">
        <f t="shared" si="21"/>
        <v>0</v>
      </c>
      <c r="BG16" s="50"/>
      <c r="BH16" s="50"/>
      <c r="BI16" s="50">
        <f t="shared" si="22"/>
        <v>0</v>
      </c>
      <c r="BJ16" s="50"/>
      <c r="BK16" s="50"/>
      <c r="BL16" s="50">
        <f t="shared" si="23"/>
        <v>0</v>
      </c>
      <c r="BM16" s="50"/>
      <c r="BN16" s="50"/>
      <c r="BO16" s="50">
        <f t="shared" si="1"/>
        <v>0</v>
      </c>
      <c r="BP16" s="50"/>
      <c r="BQ16" s="50"/>
      <c r="BR16" s="50">
        <f t="shared" si="24"/>
        <v>0</v>
      </c>
      <c r="BS16" s="50"/>
      <c r="BT16" s="50"/>
      <c r="BU16" s="50">
        <f t="shared" si="25"/>
        <v>0</v>
      </c>
      <c r="BV16" s="50"/>
      <c r="BW16" s="50"/>
      <c r="BX16" s="50">
        <f t="shared" si="26"/>
        <v>0</v>
      </c>
      <c r="BY16" s="50">
        <v>1613910</v>
      </c>
      <c r="BZ16" s="50"/>
      <c r="CA16" s="50">
        <f t="shared" si="2"/>
        <v>1613910</v>
      </c>
      <c r="CB16" s="50"/>
      <c r="CC16" s="50"/>
      <c r="CD16" s="50">
        <f t="shared" si="27"/>
        <v>0</v>
      </c>
      <c r="CE16" s="50"/>
      <c r="CF16" s="50"/>
      <c r="CG16" s="50">
        <f t="shared" si="28"/>
        <v>0</v>
      </c>
      <c r="CH16" s="50">
        <v>999649</v>
      </c>
      <c r="CI16" s="50"/>
      <c r="CJ16" s="50">
        <f t="shared" si="29"/>
        <v>999649</v>
      </c>
      <c r="CK16" s="50">
        <v>31</v>
      </c>
      <c r="CL16" s="50">
        <v>469</v>
      </c>
      <c r="CM16" s="50">
        <f t="shared" si="3"/>
        <v>500</v>
      </c>
      <c r="CN16" s="50"/>
      <c r="CO16" s="50"/>
      <c r="CP16" s="50">
        <f t="shared" si="30"/>
        <v>0</v>
      </c>
      <c r="CQ16" s="50"/>
      <c r="CR16" s="50"/>
      <c r="CS16" s="50">
        <f t="shared" si="4"/>
        <v>0</v>
      </c>
    </row>
    <row r="17" spans="1:97" ht="15" customHeight="1" x14ac:dyDescent="0.25">
      <c r="A17" s="51" t="s">
        <v>192</v>
      </c>
      <c r="B17" s="50"/>
      <c r="C17" s="50"/>
      <c r="D17" s="50">
        <f t="shared" si="0"/>
        <v>0</v>
      </c>
      <c r="E17" s="50"/>
      <c r="F17" s="50"/>
      <c r="G17" s="50">
        <f t="shared" si="5"/>
        <v>0</v>
      </c>
      <c r="H17" s="50"/>
      <c r="I17" s="50"/>
      <c r="J17" s="50">
        <f t="shared" si="31"/>
        <v>0</v>
      </c>
      <c r="K17" s="50"/>
      <c r="L17" s="50"/>
      <c r="M17" s="50">
        <f t="shared" si="6"/>
        <v>0</v>
      </c>
      <c r="N17" s="50">
        <v>103806</v>
      </c>
      <c r="O17" s="50">
        <v>639790</v>
      </c>
      <c r="P17" s="50">
        <f t="shared" si="7"/>
        <v>743596</v>
      </c>
      <c r="Q17" s="50">
        <v>30380</v>
      </c>
      <c r="R17" s="50">
        <v>257871</v>
      </c>
      <c r="S17" s="50">
        <f t="shared" si="8"/>
        <v>288251</v>
      </c>
      <c r="T17" s="50"/>
      <c r="U17" s="50"/>
      <c r="V17" s="50">
        <f t="shared" si="9"/>
        <v>0</v>
      </c>
      <c r="W17" s="50"/>
      <c r="X17" s="50"/>
      <c r="Y17" s="50">
        <f t="shared" si="10"/>
        <v>0</v>
      </c>
      <c r="Z17" s="50"/>
      <c r="AA17" s="50"/>
      <c r="AB17" s="50">
        <f t="shared" si="11"/>
        <v>0</v>
      </c>
      <c r="AC17" s="50"/>
      <c r="AD17" s="50"/>
      <c r="AE17" s="50">
        <f t="shared" si="12"/>
        <v>0</v>
      </c>
      <c r="AF17" s="50"/>
      <c r="AG17" s="50"/>
      <c r="AH17" s="50">
        <f t="shared" si="13"/>
        <v>0</v>
      </c>
      <c r="AI17" s="50">
        <v>251589</v>
      </c>
      <c r="AJ17" s="50">
        <v>795341</v>
      </c>
      <c r="AK17" s="50">
        <f t="shared" si="14"/>
        <v>1046930</v>
      </c>
      <c r="AL17" s="50"/>
      <c r="AM17" s="50"/>
      <c r="AN17" s="50">
        <f t="shared" si="15"/>
        <v>0</v>
      </c>
      <c r="AO17" s="50"/>
      <c r="AP17" s="50"/>
      <c r="AQ17" s="50">
        <f t="shared" si="16"/>
        <v>0</v>
      </c>
      <c r="AR17" s="50"/>
      <c r="AS17" s="50"/>
      <c r="AT17" s="50">
        <f t="shared" si="17"/>
        <v>0</v>
      </c>
      <c r="AU17" s="50"/>
      <c r="AV17" s="50"/>
      <c r="AW17" s="50">
        <f t="shared" si="18"/>
        <v>0</v>
      </c>
      <c r="AX17" s="50"/>
      <c r="AY17" s="50"/>
      <c r="AZ17" s="50">
        <f t="shared" si="19"/>
        <v>0</v>
      </c>
      <c r="BA17" s="50"/>
      <c r="BB17" s="50"/>
      <c r="BC17" s="50">
        <f t="shared" si="20"/>
        <v>0</v>
      </c>
      <c r="BD17" s="50">
        <v>54.733365230516917</v>
      </c>
      <c r="BE17" s="50">
        <v>2335</v>
      </c>
      <c r="BF17" s="50">
        <f t="shared" si="21"/>
        <v>2389.7333652305169</v>
      </c>
      <c r="BG17" s="50"/>
      <c r="BH17" s="50"/>
      <c r="BI17" s="50">
        <f t="shared" si="22"/>
        <v>0</v>
      </c>
      <c r="BJ17" s="50"/>
      <c r="BK17" s="50"/>
      <c r="BL17" s="50">
        <f t="shared" si="23"/>
        <v>0</v>
      </c>
      <c r="BM17" s="50"/>
      <c r="BN17" s="50"/>
      <c r="BO17" s="50">
        <f t="shared" si="1"/>
        <v>0</v>
      </c>
      <c r="BP17" s="50"/>
      <c r="BQ17" s="50"/>
      <c r="BR17" s="50">
        <f t="shared" si="24"/>
        <v>0</v>
      </c>
      <c r="BS17" s="50"/>
      <c r="BT17" s="50"/>
      <c r="BU17" s="50">
        <f t="shared" si="25"/>
        <v>0</v>
      </c>
      <c r="BV17" s="50"/>
      <c r="BW17" s="50"/>
      <c r="BX17" s="50">
        <f t="shared" si="26"/>
        <v>0</v>
      </c>
      <c r="BY17" s="50"/>
      <c r="BZ17" s="50"/>
      <c r="CA17" s="50">
        <f t="shared" si="2"/>
        <v>0</v>
      </c>
      <c r="CB17" s="50">
        <v>291001</v>
      </c>
      <c r="CC17" s="50">
        <v>357325</v>
      </c>
      <c r="CD17" s="50">
        <f t="shared" si="27"/>
        <v>648326</v>
      </c>
      <c r="CE17" s="50">
        <v>404599</v>
      </c>
      <c r="CF17" s="50">
        <v>1617069</v>
      </c>
      <c r="CG17" s="50">
        <f t="shared" si="28"/>
        <v>2021668</v>
      </c>
      <c r="CH17" s="50"/>
      <c r="CI17" s="50"/>
      <c r="CJ17" s="50">
        <f t="shared" si="29"/>
        <v>0</v>
      </c>
      <c r="CK17" s="50"/>
      <c r="CL17" s="50"/>
      <c r="CM17" s="50">
        <f t="shared" si="3"/>
        <v>0</v>
      </c>
      <c r="CN17" s="50"/>
      <c r="CO17" s="50"/>
      <c r="CP17" s="50">
        <f t="shared" si="30"/>
        <v>0</v>
      </c>
      <c r="CQ17" s="50"/>
      <c r="CR17" s="50"/>
      <c r="CS17" s="50">
        <f t="shared" si="4"/>
        <v>0</v>
      </c>
    </row>
    <row r="18" spans="1:97" ht="15" customHeight="1" x14ac:dyDescent="0.25">
      <c r="A18" s="51" t="s">
        <v>193</v>
      </c>
      <c r="B18" s="50">
        <v>417777</v>
      </c>
      <c r="C18" s="50">
        <v>1312668</v>
      </c>
      <c r="D18" s="50">
        <f t="shared" si="0"/>
        <v>1730445</v>
      </c>
      <c r="E18" s="50">
        <f>259587+50296</f>
        <v>309883</v>
      </c>
      <c r="F18" s="50">
        <f>203022+458236</f>
        <v>661258</v>
      </c>
      <c r="G18" s="50">
        <f t="shared" si="5"/>
        <v>971141</v>
      </c>
      <c r="H18" s="50"/>
      <c r="I18" s="50"/>
      <c r="J18" s="50">
        <v>7746678</v>
      </c>
      <c r="K18" s="50">
        <v>10756519</v>
      </c>
      <c r="L18" s="50">
        <v>37999753</v>
      </c>
      <c r="M18" s="50">
        <f t="shared" si="6"/>
        <v>48756272</v>
      </c>
      <c r="N18" s="50">
        <v>2458843</v>
      </c>
      <c r="O18" s="50">
        <v>15154643</v>
      </c>
      <c r="P18" s="50">
        <f t="shared" si="7"/>
        <v>17613486</v>
      </c>
      <c r="Q18" s="50">
        <v>618683</v>
      </c>
      <c r="R18" s="50">
        <v>5251417</v>
      </c>
      <c r="S18" s="50">
        <f t="shared" si="8"/>
        <v>5870100</v>
      </c>
      <c r="T18" s="50">
        <v>13021029.220000001</v>
      </c>
      <c r="U18" s="50">
        <v>17260434.079999998</v>
      </c>
      <c r="V18" s="50">
        <f t="shared" si="9"/>
        <v>30281463.299999997</v>
      </c>
      <c r="W18" s="50">
        <v>178508</v>
      </c>
      <c r="X18" s="50">
        <v>616698</v>
      </c>
      <c r="Y18" s="50">
        <f t="shared" si="10"/>
        <v>795206</v>
      </c>
      <c r="Z18" s="50">
        <v>3572640</v>
      </c>
      <c r="AA18" s="50">
        <v>12543769</v>
      </c>
      <c r="AB18" s="50">
        <f t="shared" si="11"/>
        <v>16116409</v>
      </c>
      <c r="AC18" s="50"/>
      <c r="AD18" s="50">
        <v>5079084</v>
      </c>
      <c r="AE18" s="50">
        <f t="shared" si="12"/>
        <v>5079084</v>
      </c>
      <c r="AF18" s="50">
        <v>7931865</v>
      </c>
      <c r="AG18" s="50">
        <v>32389730</v>
      </c>
      <c r="AH18" s="50">
        <f t="shared" si="13"/>
        <v>40321595</v>
      </c>
      <c r="AI18" s="50">
        <v>14809789</v>
      </c>
      <c r="AJ18" s="50">
        <v>46817707</v>
      </c>
      <c r="AK18" s="50">
        <f t="shared" si="14"/>
        <v>61627496</v>
      </c>
      <c r="AL18" s="50">
        <v>7096267</v>
      </c>
      <c r="AM18" s="50">
        <v>24122471</v>
      </c>
      <c r="AN18" s="50">
        <f t="shared" si="15"/>
        <v>31218738</v>
      </c>
      <c r="AO18" s="50">
        <v>333346</v>
      </c>
      <c r="AP18" s="50">
        <v>1092007</v>
      </c>
      <c r="AQ18" s="50">
        <f>AP18+AO18</f>
        <v>1425353</v>
      </c>
      <c r="AR18" s="50">
        <v>1512871</v>
      </c>
      <c r="AS18" s="50">
        <v>4019099</v>
      </c>
      <c r="AT18" s="50">
        <f t="shared" si="17"/>
        <v>5531970</v>
      </c>
      <c r="AU18" s="50">
        <v>1211958</v>
      </c>
      <c r="AV18" s="50">
        <v>8098454</v>
      </c>
      <c r="AW18" s="50">
        <f t="shared" si="18"/>
        <v>9310412</v>
      </c>
      <c r="AX18" s="50">
        <v>733890</v>
      </c>
      <c r="AY18" s="50">
        <v>844110</v>
      </c>
      <c r="AZ18" s="50">
        <f t="shared" si="19"/>
        <v>1578000</v>
      </c>
      <c r="BA18" s="50">
        <v>1572585</v>
      </c>
      <c r="BB18" s="50">
        <v>1590371</v>
      </c>
      <c r="BC18" s="50">
        <f t="shared" si="20"/>
        <v>3162956</v>
      </c>
      <c r="BD18" s="50">
        <v>594667.47877433361</v>
      </c>
      <c r="BE18" s="50">
        <v>25372223</v>
      </c>
      <c r="BF18" s="50">
        <f t="shared" si="21"/>
        <v>25966890.478774335</v>
      </c>
      <c r="BG18" s="50">
        <v>524452</v>
      </c>
      <c r="BH18" s="50">
        <v>861403</v>
      </c>
      <c r="BI18" s="50">
        <f t="shared" si="22"/>
        <v>1385855</v>
      </c>
      <c r="BJ18" s="50">
        <v>181795</v>
      </c>
      <c r="BK18" s="50">
        <v>537779</v>
      </c>
      <c r="BL18" s="50">
        <f t="shared" si="23"/>
        <v>719574</v>
      </c>
      <c r="BM18" s="50">
        <v>1319839</v>
      </c>
      <c r="BN18" s="50">
        <v>7473366</v>
      </c>
      <c r="BO18" s="50">
        <f t="shared" si="1"/>
        <v>8793205</v>
      </c>
      <c r="BP18" s="50">
        <v>4033479</v>
      </c>
      <c r="BQ18" s="50">
        <v>5193670</v>
      </c>
      <c r="BR18" s="50">
        <f t="shared" si="24"/>
        <v>9227149</v>
      </c>
      <c r="BS18" s="50">
        <v>2201661</v>
      </c>
      <c r="BT18" s="50">
        <v>10180583</v>
      </c>
      <c r="BU18" s="50">
        <f t="shared" si="25"/>
        <v>12382244</v>
      </c>
      <c r="BV18" s="50">
        <v>9399329</v>
      </c>
      <c r="BW18" s="50">
        <v>22890752</v>
      </c>
      <c r="BX18" s="50">
        <f t="shared" si="26"/>
        <v>32290081</v>
      </c>
      <c r="BY18" s="50">
        <v>5957173</v>
      </c>
      <c r="BZ18" s="50">
        <v>50970867</v>
      </c>
      <c r="CA18" s="50">
        <f t="shared" si="2"/>
        <v>56928040</v>
      </c>
      <c r="CB18" s="50">
        <v>8350009</v>
      </c>
      <c r="CC18" s="50">
        <v>10253094</v>
      </c>
      <c r="CD18" s="50">
        <f t="shared" si="27"/>
        <v>18603103</v>
      </c>
      <c r="CE18" s="50">
        <v>6031552</v>
      </c>
      <c r="CF18" s="50">
        <v>24106455</v>
      </c>
      <c r="CG18" s="50">
        <f t="shared" si="28"/>
        <v>30138007</v>
      </c>
      <c r="CH18" s="50">
        <v>20198989</v>
      </c>
      <c r="CI18" s="50">
        <v>47135161</v>
      </c>
      <c r="CJ18" s="50">
        <f t="shared" si="29"/>
        <v>67334150</v>
      </c>
      <c r="CK18" s="50">
        <v>2020972</v>
      </c>
      <c r="CL18" s="50">
        <v>30947567</v>
      </c>
      <c r="CM18" s="50">
        <f t="shared" si="3"/>
        <v>32968539</v>
      </c>
      <c r="CN18" s="50"/>
      <c r="CO18" s="50"/>
      <c r="CP18" s="50">
        <v>47765308</v>
      </c>
      <c r="CQ18" s="50">
        <v>781176</v>
      </c>
      <c r="CR18" s="50">
        <v>6212310</v>
      </c>
      <c r="CS18" s="50">
        <f t="shared" si="4"/>
        <v>6993486</v>
      </c>
    </row>
    <row r="19" spans="1:97" ht="15" customHeight="1" x14ac:dyDescent="0.25">
      <c r="A19" s="51" t="s">
        <v>194</v>
      </c>
      <c r="B19" s="50"/>
      <c r="C19" s="50"/>
      <c r="D19" s="50">
        <f t="shared" si="0"/>
        <v>0</v>
      </c>
      <c r="E19" s="50"/>
      <c r="F19" s="50">
        <v>150373</v>
      </c>
      <c r="G19" s="50">
        <f t="shared" si="5"/>
        <v>150373</v>
      </c>
      <c r="H19" s="50"/>
      <c r="I19" s="50"/>
      <c r="J19" s="50">
        <v>205426</v>
      </c>
      <c r="K19" s="50"/>
      <c r="L19" s="50"/>
      <c r="M19" s="50">
        <f t="shared" si="6"/>
        <v>0</v>
      </c>
      <c r="N19" s="50">
        <f>-24430+35091</f>
        <v>10661</v>
      </c>
      <c r="O19" s="50">
        <f>-150570+216277</f>
        <v>65707</v>
      </c>
      <c r="P19" s="50">
        <f t="shared" si="7"/>
        <v>76368</v>
      </c>
      <c r="Q19" s="50">
        <f>102273+5337+13432</f>
        <v>121042</v>
      </c>
      <c r="R19" s="50">
        <f>868099+45298+114011</f>
        <v>1027408</v>
      </c>
      <c r="S19" s="50">
        <f t="shared" si="8"/>
        <v>1148450</v>
      </c>
      <c r="T19" s="50">
        <v>750636.52</v>
      </c>
      <c r="U19" s="50">
        <v>995029.81</v>
      </c>
      <c r="V19" s="50">
        <f t="shared" si="9"/>
        <v>1745666.33</v>
      </c>
      <c r="W19" s="50">
        <v>52687</v>
      </c>
      <c r="X19" s="50"/>
      <c r="Y19" s="50">
        <f t="shared" si="10"/>
        <v>52687</v>
      </c>
      <c r="Z19" s="50">
        <f>-27532+104016</f>
        <v>76484</v>
      </c>
      <c r="AA19" s="50">
        <f>-96668+365209</f>
        <v>268541</v>
      </c>
      <c r="AB19" s="50">
        <f t="shared" si="11"/>
        <v>345025</v>
      </c>
      <c r="AC19" s="50"/>
      <c r="AD19" s="50"/>
      <c r="AE19" s="50">
        <f t="shared" si="12"/>
        <v>0</v>
      </c>
      <c r="AF19" s="50"/>
      <c r="AG19" s="50"/>
      <c r="AH19" s="50">
        <f t="shared" si="13"/>
        <v>0</v>
      </c>
      <c r="AI19" s="50"/>
      <c r="AJ19" s="50"/>
      <c r="AK19" s="50">
        <f t="shared" si="14"/>
        <v>0</v>
      </c>
      <c r="AL19" s="50">
        <f>5061+250039-125019</f>
        <v>130081</v>
      </c>
      <c r="AM19" s="50">
        <f>17203+849961-424981</f>
        <v>442183</v>
      </c>
      <c r="AN19" s="50">
        <f t="shared" si="15"/>
        <v>572264</v>
      </c>
      <c r="AO19" s="50"/>
      <c r="AP19" s="50"/>
      <c r="AQ19" s="50">
        <f t="shared" si="16"/>
        <v>0</v>
      </c>
      <c r="AR19" s="50"/>
      <c r="AS19" s="50"/>
      <c r="AT19" s="50">
        <f t="shared" ref="AT19" si="32">AS19+AR19</f>
        <v>0</v>
      </c>
      <c r="AU19" s="50">
        <v>175733</v>
      </c>
      <c r="AV19" s="50">
        <v>1174272</v>
      </c>
      <c r="AW19" s="50">
        <f t="shared" si="18"/>
        <v>1350005</v>
      </c>
      <c r="AX19" s="50"/>
      <c r="AY19" s="50"/>
      <c r="AZ19" s="50">
        <f t="shared" si="19"/>
        <v>0</v>
      </c>
      <c r="BA19" s="50"/>
      <c r="BB19" s="50"/>
      <c r="BC19" s="50">
        <f t="shared" si="20"/>
        <v>0</v>
      </c>
      <c r="BD19" s="50"/>
      <c r="BE19" s="50"/>
      <c r="BF19" s="50">
        <f t="shared" si="21"/>
        <v>0</v>
      </c>
      <c r="BG19" s="50">
        <v>21239</v>
      </c>
      <c r="BH19" s="50">
        <v>15167</v>
      </c>
      <c r="BI19" s="50">
        <f t="shared" si="22"/>
        <v>36406</v>
      </c>
      <c r="BJ19" s="50"/>
      <c r="BK19" s="50"/>
      <c r="BL19" s="50">
        <f t="shared" si="23"/>
        <v>0</v>
      </c>
      <c r="BM19" s="50">
        <f>341068-78744</f>
        <v>262324</v>
      </c>
      <c r="BN19" s="50">
        <f>-445877+1931239</f>
        <v>1485362</v>
      </c>
      <c r="BO19" s="50">
        <f t="shared" si="1"/>
        <v>1747686</v>
      </c>
      <c r="BP19" s="50">
        <v>50000</v>
      </c>
      <c r="BQ19" s="50"/>
      <c r="BR19" s="50">
        <f t="shared" si="24"/>
        <v>50000</v>
      </c>
      <c r="BS19" s="50">
        <v>318551</v>
      </c>
      <c r="BT19" s="50">
        <v>1472997</v>
      </c>
      <c r="BU19" s="50">
        <f t="shared" si="25"/>
        <v>1791548</v>
      </c>
      <c r="BV19" s="50"/>
      <c r="BW19" s="50"/>
      <c r="BX19" s="50">
        <f t="shared" si="26"/>
        <v>0</v>
      </c>
      <c r="BY19" s="50"/>
      <c r="BZ19" s="50"/>
      <c r="CA19" s="50">
        <f t="shared" si="2"/>
        <v>0</v>
      </c>
      <c r="CB19" s="50">
        <v>552931</v>
      </c>
      <c r="CC19" s="50">
        <v>678951</v>
      </c>
      <c r="CD19" s="50">
        <f t="shared" si="27"/>
        <v>1231882</v>
      </c>
      <c r="CE19" s="50">
        <v>179191</v>
      </c>
      <c r="CF19" s="50">
        <v>716179</v>
      </c>
      <c r="CG19" s="50">
        <f t="shared" si="28"/>
        <v>895370</v>
      </c>
      <c r="CH19" s="50">
        <v>8580116</v>
      </c>
      <c r="CI19" s="50">
        <v>19424229</v>
      </c>
      <c r="CJ19" s="50">
        <f t="shared" si="29"/>
        <v>28004345</v>
      </c>
      <c r="CK19" s="50"/>
      <c r="CL19" s="50"/>
      <c r="CM19" s="50">
        <f t="shared" si="3"/>
        <v>0</v>
      </c>
      <c r="CN19" s="50"/>
      <c r="CO19" s="50"/>
      <c r="CP19" s="50">
        <v>16602230</v>
      </c>
      <c r="CQ19" s="50">
        <v>2234</v>
      </c>
      <c r="CR19" s="50">
        <v>17766</v>
      </c>
      <c r="CS19" s="50">
        <f t="shared" si="4"/>
        <v>20000</v>
      </c>
    </row>
    <row r="20" spans="1:97" s="53" customFormat="1" ht="15" customHeight="1" x14ac:dyDescent="0.25">
      <c r="A20" s="49" t="s">
        <v>195</v>
      </c>
      <c r="B20" s="52">
        <f>SUM(B6:B19)</f>
        <v>885936</v>
      </c>
      <c r="C20" s="52">
        <f t="shared" ref="C20:BK20" si="33">SUM(C6:C19)</f>
        <v>2783636</v>
      </c>
      <c r="D20" s="52">
        <f t="shared" si="33"/>
        <v>3669572</v>
      </c>
      <c r="E20" s="52">
        <f t="shared" si="33"/>
        <v>2959956</v>
      </c>
      <c r="F20" s="52">
        <f t="shared" si="33"/>
        <v>6657236</v>
      </c>
      <c r="G20" s="52">
        <f t="shared" si="33"/>
        <v>9617192</v>
      </c>
      <c r="H20" s="52">
        <f t="shared" si="33"/>
        <v>0</v>
      </c>
      <c r="I20" s="52">
        <f t="shared" si="33"/>
        <v>0</v>
      </c>
      <c r="J20" s="52">
        <f t="shared" si="33"/>
        <v>51090096</v>
      </c>
      <c r="K20" s="52">
        <f t="shared" si="33"/>
        <v>44014391</v>
      </c>
      <c r="L20" s="52">
        <f t="shared" si="33"/>
        <v>150831151</v>
      </c>
      <c r="M20" s="52">
        <f t="shared" si="33"/>
        <v>194845542</v>
      </c>
      <c r="N20" s="52">
        <f t="shared" si="33"/>
        <v>6353004</v>
      </c>
      <c r="O20" s="52">
        <f t="shared" si="33"/>
        <v>39155622</v>
      </c>
      <c r="P20" s="52">
        <f t="shared" si="33"/>
        <v>45508626</v>
      </c>
      <c r="Q20" s="52">
        <f t="shared" si="33"/>
        <v>9698723</v>
      </c>
      <c r="R20" s="52">
        <f t="shared" si="33"/>
        <v>82323378</v>
      </c>
      <c r="S20" s="52">
        <f t="shared" si="33"/>
        <v>92022101</v>
      </c>
      <c r="T20" s="52">
        <f t="shared" si="33"/>
        <v>46484223.390000001</v>
      </c>
      <c r="U20" s="52">
        <f t="shared" si="33"/>
        <v>61618621.700000003</v>
      </c>
      <c r="V20" s="52">
        <f t="shared" si="33"/>
        <v>108102845.08999999</v>
      </c>
      <c r="W20" s="52">
        <f t="shared" si="33"/>
        <v>566167</v>
      </c>
      <c r="X20" s="52">
        <f t="shared" si="33"/>
        <v>1720982</v>
      </c>
      <c r="Y20" s="52">
        <f t="shared" si="33"/>
        <v>2287149</v>
      </c>
      <c r="Z20" s="52">
        <f t="shared" si="33"/>
        <v>10082834</v>
      </c>
      <c r="AA20" s="52">
        <f t="shared" si="33"/>
        <v>35401475</v>
      </c>
      <c r="AB20" s="52">
        <f t="shared" si="33"/>
        <v>45484309</v>
      </c>
      <c r="AC20" s="52">
        <f t="shared" si="33"/>
        <v>0</v>
      </c>
      <c r="AD20" s="52">
        <f t="shared" si="33"/>
        <v>30668664</v>
      </c>
      <c r="AE20" s="52">
        <f t="shared" si="33"/>
        <v>30668664</v>
      </c>
      <c r="AF20" s="52">
        <f t="shared" si="33"/>
        <v>26255755</v>
      </c>
      <c r="AG20" s="52">
        <f t="shared" si="33"/>
        <v>107215245</v>
      </c>
      <c r="AH20" s="52">
        <f t="shared" si="33"/>
        <v>133471000</v>
      </c>
      <c r="AI20" s="52">
        <f t="shared" si="33"/>
        <v>64046285</v>
      </c>
      <c r="AJ20" s="52">
        <f t="shared" si="33"/>
        <v>201748262</v>
      </c>
      <c r="AK20" s="52">
        <f t="shared" si="33"/>
        <v>265794547</v>
      </c>
      <c r="AL20" s="52">
        <f t="shared" si="33"/>
        <v>20577967</v>
      </c>
      <c r="AM20" s="52">
        <f t="shared" si="33"/>
        <v>69951056</v>
      </c>
      <c r="AN20" s="52">
        <f t="shared" si="33"/>
        <v>90529023</v>
      </c>
      <c r="AO20" s="52">
        <f t="shared" si="33"/>
        <v>1752847</v>
      </c>
      <c r="AP20" s="52">
        <f t="shared" si="33"/>
        <v>6013730</v>
      </c>
      <c r="AQ20" s="52">
        <f t="shared" si="33"/>
        <v>7766577</v>
      </c>
      <c r="AR20" s="52">
        <f t="shared" si="33"/>
        <v>7314615</v>
      </c>
      <c r="AS20" s="52">
        <f t="shared" si="33"/>
        <v>19432043</v>
      </c>
      <c r="AT20" s="52">
        <f t="shared" si="33"/>
        <v>26746658</v>
      </c>
      <c r="AU20" s="52">
        <f t="shared" si="33"/>
        <v>3427036</v>
      </c>
      <c r="AV20" s="52">
        <f t="shared" si="33"/>
        <v>22899878</v>
      </c>
      <c r="AW20" s="52">
        <f t="shared" si="33"/>
        <v>26326914</v>
      </c>
      <c r="AX20" s="52">
        <f t="shared" si="33"/>
        <v>2285131</v>
      </c>
      <c r="AY20" s="52">
        <f t="shared" si="33"/>
        <v>2997617</v>
      </c>
      <c r="AZ20" s="52" t="e">
        <f t="shared" si="33"/>
        <v>#VALUE!</v>
      </c>
      <c r="BA20" s="52">
        <f t="shared" si="33"/>
        <v>3810686</v>
      </c>
      <c r="BB20" s="52">
        <f t="shared" si="33"/>
        <v>5390250</v>
      </c>
      <c r="BC20" s="52">
        <f t="shared" si="33"/>
        <v>9200936</v>
      </c>
      <c r="BD20" s="52">
        <f t="shared" si="33"/>
        <v>5951571.4902609214</v>
      </c>
      <c r="BE20" s="52">
        <f t="shared" si="33"/>
        <v>253931141</v>
      </c>
      <c r="BF20" s="52">
        <f t="shared" si="33"/>
        <v>259882712.49026096</v>
      </c>
      <c r="BG20" s="52">
        <f t="shared" si="33"/>
        <v>1861447</v>
      </c>
      <c r="BH20" s="52">
        <f t="shared" si="33"/>
        <v>2678512</v>
      </c>
      <c r="BI20" s="52">
        <f t="shared" si="33"/>
        <v>4539959</v>
      </c>
      <c r="BJ20" s="52">
        <f t="shared" si="33"/>
        <v>1148150</v>
      </c>
      <c r="BK20" s="52">
        <f t="shared" si="33"/>
        <v>3396410</v>
      </c>
      <c r="BL20" s="52">
        <f t="shared" ref="BL20:CP20" si="34">SUM(BL6:BL19)</f>
        <v>4544560</v>
      </c>
      <c r="BM20" s="52">
        <f t="shared" si="34"/>
        <v>16104931</v>
      </c>
      <c r="BN20" s="52">
        <f t="shared" si="34"/>
        <v>91191488</v>
      </c>
      <c r="BO20" s="52">
        <f t="shared" si="34"/>
        <v>107296419</v>
      </c>
      <c r="BP20" s="52">
        <f t="shared" si="34"/>
        <v>8601670</v>
      </c>
      <c r="BQ20" s="52">
        <f t="shared" si="34"/>
        <v>12980305</v>
      </c>
      <c r="BR20" s="52">
        <f t="shared" si="34"/>
        <v>21581975</v>
      </c>
      <c r="BS20" s="52">
        <f t="shared" si="34"/>
        <v>9348599</v>
      </c>
      <c r="BT20" s="52">
        <f t="shared" si="34"/>
        <v>43228363</v>
      </c>
      <c r="BU20" s="52">
        <f t="shared" si="34"/>
        <v>52576962</v>
      </c>
      <c r="BV20" s="52">
        <f t="shared" ref="BV20:BX20" si="35">SUM(BV6:BV19)</f>
        <v>26750123</v>
      </c>
      <c r="BW20" s="52">
        <f t="shared" si="35"/>
        <v>54732945</v>
      </c>
      <c r="BX20" s="52">
        <f t="shared" si="35"/>
        <v>81483068</v>
      </c>
      <c r="BY20" s="52">
        <f t="shared" si="34"/>
        <v>16266320</v>
      </c>
      <c r="BZ20" s="52">
        <f t="shared" si="34"/>
        <v>81569801</v>
      </c>
      <c r="CA20" s="52">
        <f t="shared" si="34"/>
        <v>97836121</v>
      </c>
      <c r="CB20" s="52">
        <f t="shared" si="34"/>
        <v>24235458</v>
      </c>
      <c r="CC20" s="52">
        <f t="shared" si="34"/>
        <v>29759061</v>
      </c>
      <c r="CD20" s="52">
        <f t="shared" si="34"/>
        <v>53994519</v>
      </c>
      <c r="CE20" s="52">
        <f t="shared" si="34"/>
        <v>29315280</v>
      </c>
      <c r="CF20" s="52">
        <f t="shared" si="34"/>
        <v>117165110</v>
      </c>
      <c r="CG20" s="52">
        <f t="shared" si="34"/>
        <v>146480390</v>
      </c>
      <c r="CH20" s="52">
        <f t="shared" si="34"/>
        <v>191084576</v>
      </c>
      <c r="CI20" s="52">
        <f t="shared" si="34"/>
        <v>425790321</v>
      </c>
      <c r="CJ20" s="52">
        <f t="shared" si="34"/>
        <v>616874897</v>
      </c>
      <c r="CK20" s="52">
        <f t="shared" si="34"/>
        <v>13328124</v>
      </c>
      <c r="CL20" s="52">
        <f t="shared" si="34"/>
        <v>204096377</v>
      </c>
      <c r="CM20" s="52">
        <f t="shared" si="34"/>
        <v>217424501</v>
      </c>
      <c r="CN20" s="52">
        <f t="shared" si="34"/>
        <v>0</v>
      </c>
      <c r="CO20" s="52">
        <f t="shared" si="34"/>
        <v>0</v>
      </c>
      <c r="CP20" s="52">
        <f t="shared" si="34"/>
        <v>296455627</v>
      </c>
      <c r="CQ20" s="52">
        <f t="shared" ref="CQ20:CS20" si="36">SUM(CQ6:CQ19)</f>
        <v>3091171</v>
      </c>
      <c r="CR20" s="52">
        <f t="shared" si="36"/>
        <v>24582568</v>
      </c>
      <c r="CS20" s="52">
        <f t="shared" si="36"/>
        <v>27673739</v>
      </c>
    </row>
    <row r="21" spans="1:97" ht="15" customHeight="1" x14ac:dyDescent="0.25">
      <c r="A21" s="49" t="s">
        <v>196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</row>
    <row r="22" spans="1:97" ht="30" x14ac:dyDescent="0.25">
      <c r="A22" s="51" t="s">
        <v>181</v>
      </c>
      <c r="B22" s="50"/>
      <c r="C22" s="50"/>
      <c r="D22" s="50">
        <f t="shared" ref="D22:D36" si="37">B22+C22</f>
        <v>0</v>
      </c>
      <c r="E22" s="50">
        <v>245460</v>
      </c>
      <c r="F22" s="50">
        <v>743399</v>
      </c>
      <c r="G22" s="50">
        <f t="shared" ref="G22:G36" si="38">F22+E22</f>
        <v>988859</v>
      </c>
      <c r="H22" s="50"/>
      <c r="I22" s="50"/>
      <c r="J22" s="50">
        <v>3251408</v>
      </c>
      <c r="K22" s="50"/>
      <c r="L22" s="50"/>
      <c r="M22" s="50">
        <f t="shared" ref="M22:M36" si="39">L22+K22</f>
        <v>0</v>
      </c>
      <c r="N22" s="50">
        <v>83039</v>
      </c>
      <c r="O22" s="50">
        <v>511799</v>
      </c>
      <c r="P22" s="50">
        <f t="shared" ref="P22:P36" si="40">O22+N22</f>
        <v>594838</v>
      </c>
      <c r="Q22" s="50"/>
      <c r="R22" s="50"/>
      <c r="S22" s="50">
        <f t="shared" ref="S22:S36" si="41">R22+Q22</f>
        <v>0</v>
      </c>
      <c r="T22" s="50">
        <v>454251.19</v>
      </c>
      <c r="U22" s="50">
        <v>602146.92000000004</v>
      </c>
      <c r="V22" s="50">
        <f t="shared" ref="V22:V36" si="42">U22+T22</f>
        <v>1056398.1100000001</v>
      </c>
      <c r="W22" s="50">
        <v>147952</v>
      </c>
      <c r="X22" s="50">
        <v>396730</v>
      </c>
      <c r="Y22" s="50">
        <f t="shared" ref="Y22:Y36" si="43">X22+W22</f>
        <v>544682</v>
      </c>
      <c r="Z22" s="50">
        <v>291160</v>
      </c>
      <c r="AA22" s="50">
        <v>1022282</v>
      </c>
      <c r="AB22" s="50">
        <f t="shared" ref="AB22:AB36" si="44">AA22+Z22</f>
        <v>1313442</v>
      </c>
      <c r="AC22" s="50"/>
      <c r="AD22" s="50">
        <v>99997</v>
      </c>
      <c r="AE22" s="50">
        <f t="shared" ref="AE22:AE36" si="45">AD22+AC22</f>
        <v>99997</v>
      </c>
      <c r="AF22" s="50">
        <v>479086</v>
      </c>
      <c r="AG22" s="50">
        <v>1956349</v>
      </c>
      <c r="AH22" s="50">
        <f t="shared" ref="AH22:AH36" si="46">AG22+AF22</f>
        <v>2435435</v>
      </c>
      <c r="AI22" s="50"/>
      <c r="AJ22" s="50"/>
      <c r="AK22" s="50">
        <f t="shared" ref="AK22:AK36" si="47">AJ22+AI22</f>
        <v>0</v>
      </c>
      <c r="AL22" s="50">
        <v>64297</v>
      </c>
      <c r="AM22" s="50">
        <v>218564</v>
      </c>
      <c r="AN22" s="50">
        <f t="shared" ref="AN22:AN36" si="48">AM22+AL22</f>
        <v>282861</v>
      </c>
      <c r="AO22" s="50">
        <v>11976</v>
      </c>
      <c r="AP22" s="50">
        <v>39232</v>
      </c>
      <c r="AQ22" s="50">
        <f t="shared" ref="AQ22:AQ36" si="49">AP22+AO22</f>
        <v>51208</v>
      </c>
      <c r="AR22" s="50">
        <v>124339</v>
      </c>
      <c r="AS22" s="50">
        <v>330320</v>
      </c>
      <c r="AT22" s="50">
        <f t="shared" ref="AT22:AT36" si="50">AS22+AR22</f>
        <v>454659</v>
      </c>
      <c r="AU22" s="50"/>
      <c r="AV22" s="50"/>
      <c r="AW22" s="50">
        <f t="shared" ref="AW22:AW36" si="51">AV22+AU22</f>
        <v>0</v>
      </c>
      <c r="AX22" s="50">
        <v>99949</v>
      </c>
      <c r="AY22" s="50"/>
      <c r="AZ22" s="50">
        <f t="shared" ref="AZ22:AZ36" si="52">AY22+AX22</f>
        <v>99949</v>
      </c>
      <c r="BA22" s="50">
        <v>401097</v>
      </c>
      <c r="BB22" s="50">
        <v>501239</v>
      </c>
      <c r="BC22" s="50">
        <f t="shared" ref="BC22:BC36" si="53">BB22+BA22</f>
        <v>902336</v>
      </c>
      <c r="BD22" s="50">
        <v>185464</v>
      </c>
      <c r="BE22" s="50">
        <v>7913035</v>
      </c>
      <c r="BF22" s="50">
        <f t="shared" ref="BF22:BF36" si="54">BE22+BD22</f>
        <v>8098499</v>
      </c>
      <c r="BG22" s="50"/>
      <c r="BH22" s="50"/>
      <c r="BI22" s="50">
        <f t="shared" ref="BI22:BI36" si="55">BH22+BG22</f>
        <v>0</v>
      </c>
      <c r="BJ22" s="50">
        <v>152196</v>
      </c>
      <c r="BK22" s="50">
        <v>450219</v>
      </c>
      <c r="BL22" s="50">
        <f t="shared" ref="BL22:BL36" si="56">BK22+BJ22</f>
        <v>602415</v>
      </c>
      <c r="BM22" s="50"/>
      <c r="BN22" s="50"/>
      <c r="BO22" s="50">
        <f t="shared" ref="BO22" si="57">BN22+BM22</f>
        <v>0</v>
      </c>
      <c r="BP22" s="50">
        <v>100440</v>
      </c>
      <c r="BQ22" s="50">
        <v>150425</v>
      </c>
      <c r="BR22" s="50">
        <f t="shared" ref="BR22:BR36" si="58">BQ22+BP22</f>
        <v>250865</v>
      </c>
      <c r="BS22" s="50"/>
      <c r="BT22" s="50"/>
      <c r="BU22" s="50">
        <f t="shared" ref="BU22:BU36" si="59">BT22+BS22</f>
        <v>0</v>
      </c>
      <c r="BV22" s="50"/>
      <c r="BW22" s="50"/>
      <c r="BX22" s="50">
        <f t="shared" ref="BX22:BX36" si="60">BW22+BV22</f>
        <v>0</v>
      </c>
      <c r="BY22" s="50">
        <v>791160</v>
      </c>
      <c r="BZ22" s="50">
        <v>1872342</v>
      </c>
      <c r="CA22" s="50">
        <f t="shared" ref="CA22:CA23" si="61">BZ22+BY22</f>
        <v>2663502</v>
      </c>
      <c r="CB22" s="50"/>
      <c r="CC22" s="50"/>
      <c r="CD22" s="50">
        <f t="shared" ref="CD22:CD36" si="62">CC22+CB22</f>
        <v>0</v>
      </c>
      <c r="CE22" s="50"/>
      <c r="CF22" s="50"/>
      <c r="CG22" s="50">
        <f t="shared" ref="CG22:CG36" si="63">CF22+CE22</f>
        <v>0</v>
      </c>
      <c r="CH22" s="50">
        <v>3863788</v>
      </c>
      <c r="CI22" s="50">
        <v>9016307</v>
      </c>
      <c r="CJ22" s="50">
        <f t="shared" ref="CJ22:CJ36" si="64">CI22+CH22</f>
        <v>12880095</v>
      </c>
      <c r="CK22" s="50">
        <v>224551</v>
      </c>
      <c r="CL22" s="50">
        <v>3438605</v>
      </c>
      <c r="CM22" s="50">
        <f t="shared" ref="CM22:CM36" si="65">CL22+CK22</f>
        <v>3663156</v>
      </c>
      <c r="CN22" s="50"/>
      <c r="CO22" s="50"/>
      <c r="CP22" s="50">
        <v>11135551</v>
      </c>
      <c r="CQ22" s="50">
        <v>135003</v>
      </c>
      <c r="CR22" s="50">
        <v>1073610</v>
      </c>
      <c r="CS22" s="50">
        <f t="shared" ref="CS22" si="66">CR22+CQ22</f>
        <v>1208613</v>
      </c>
    </row>
    <row r="23" spans="1:97" ht="15" customHeight="1" x14ac:dyDescent="0.25">
      <c r="A23" s="51" t="s">
        <v>182</v>
      </c>
      <c r="B23" s="50"/>
      <c r="C23" s="50"/>
      <c r="D23" s="50">
        <f t="shared" si="37"/>
        <v>0</v>
      </c>
      <c r="E23" s="50"/>
      <c r="F23" s="50"/>
      <c r="G23" s="50">
        <f t="shared" si="38"/>
        <v>0</v>
      </c>
      <c r="H23" s="50"/>
      <c r="I23" s="50"/>
      <c r="J23" s="50">
        <v>2206396</v>
      </c>
      <c r="K23" s="50"/>
      <c r="L23" s="50"/>
      <c r="M23" s="50">
        <f t="shared" si="39"/>
        <v>0</v>
      </c>
      <c r="N23" s="50">
        <v>105287</v>
      </c>
      <c r="O23" s="50">
        <v>648916</v>
      </c>
      <c r="P23" s="50">
        <f t="shared" si="40"/>
        <v>754203</v>
      </c>
      <c r="Q23" s="50"/>
      <c r="R23" s="50"/>
      <c r="S23" s="50">
        <f t="shared" si="41"/>
        <v>0</v>
      </c>
      <c r="T23" s="50"/>
      <c r="U23" s="50"/>
      <c r="V23" s="50">
        <f t="shared" si="42"/>
        <v>0</v>
      </c>
      <c r="W23" s="50">
        <v>1009</v>
      </c>
      <c r="X23" s="50"/>
      <c r="Y23" s="50">
        <f t="shared" si="43"/>
        <v>1009</v>
      </c>
      <c r="Z23" s="50"/>
      <c r="AA23" s="50"/>
      <c r="AB23" s="50">
        <f t="shared" si="44"/>
        <v>0</v>
      </c>
      <c r="AC23" s="50"/>
      <c r="AD23" s="50"/>
      <c r="AE23" s="50">
        <f t="shared" si="45"/>
        <v>0</v>
      </c>
      <c r="AF23" s="50">
        <v>42736</v>
      </c>
      <c r="AG23" s="50">
        <v>174512</v>
      </c>
      <c r="AH23" s="50">
        <f t="shared" si="46"/>
        <v>217248</v>
      </c>
      <c r="AI23" s="50">
        <v>1964523</v>
      </c>
      <c r="AJ23" s="50">
        <v>6210381</v>
      </c>
      <c r="AK23" s="50">
        <f t="shared" si="47"/>
        <v>8174904</v>
      </c>
      <c r="AL23" s="50">
        <v>3226386</v>
      </c>
      <c r="AM23" s="50">
        <v>10967514</v>
      </c>
      <c r="AN23" s="50">
        <f t="shared" si="48"/>
        <v>14193900</v>
      </c>
      <c r="AO23" s="50"/>
      <c r="AP23" s="50"/>
      <c r="AQ23" s="50">
        <f t="shared" si="49"/>
        <v>0</v>
      </c>
      <c r="AR23" s="50">
        <v>27441</v>
      </c>
      <c r="AS23" s="50">
        <v>72900</v>
      </c>
      <c r="AT23" s="50">
        <f t="shared" si="50"/>
        <v>100341</v>
      </c>
      <c r="AU23" s="50"/>
      <c r="AV23" s="50"/>
      <c r="AW23" s="50">
        <f t="shared" si="51"/>
        <v>0</v>
      </c>
      <c r="AX23" s="50"/>
      <c r="AY23" s="50"/>
      <c r="AZ23" s="50">
        <f t="shared" si="52"/>
        <v>0</v>
      </c>
      <c r="BA23" s="50">
        <v>51158</v>
      </c>
      <c r="BB23" s="50">
        <v>200220</v>
      </c>
      <c r="BC23" s="50">
        <f t="shared" si="53"/>
        <v>251378</v>
      </c>
      <c r="BD23" s="50"/>
      <c r="BE23" s="50"/>
      <c r="BF23" s="50">
        <f t="shared" si="54"/>
        <v>0</v>
      </c>
      <c r="BG23" s="50"/>
      <c r="BH23" s="50"/>
      <c r="BI23" s="50">
        <f t="shared" si="55"/>
        <v>0</v>
      </c>
      <c r="BJ23" s="50"/>
      <c r="BK23" s="50"/>
      <c r="BL23" s="50">
        <f t="shared" si="56"/>
        <v>0</v>
      </c>
      <c r="BM23" s="50"/>
      <c r="BN23" s="50"/>
      <c r="BO23" s="50">
        <f t="shared" ref="BO23:BO36" si="67">BN23+BM23</f>
        <v>0</v>
      </c>
      <c r="BP23" s="50"/>
      <c r="BQ23" s="50"/>
      <c r="BR23" s="50">
        <f t="shared" si="58"/>
        <v>0</v>
      </c>
      <c r="BS23" s="50"/>
      <c r="BT23" s="50"/>
      <c r="BU23" s="50">
        <f t="shared" si="59"/>
        <v>0</v>
      </c>
      <c r="BV23" s="50"/>
      <c r="BW23" s="50"/>
      <c r="BX23" s="50">
        <f t="shared" si="60"/>
        <v>0</v>
      </c>
      <c r="BY23" s="50">
        <v>865</v>
      </c>
      <c r="BZ23" s="50">
        <v>1541750</v>
      </c>
      <c r="CA23" s="50">
        <f t="shared" si="61"/>
        <v>1542615</v>
      </c>
      <c r="CB23" s="50">
        <v>1089295</v>
      </c>
      <c r="CC23" s="50">
        <v>1337560</v>
      </c>
      <c r="CD23" s="50">
        <f t="shared" si="62"/>
        <v>2426855</v>
      </c>
      <c r="CE23" s="50"/>
      <c r="CF23" s="50"/>
      <c r="CG23" s="50">
        <f t="shared" si="63"/>
        <v>0</v>
      </c>
      <c r="CH23" s="50"/>
      <c r="CI23" s="50"/>
      <c r="CJ23" s="50">
        <f t="shared" si="64"/>
        <v>0</v>
      </c>
      <c r="CK23" s="50"/>
      <c r="CL23" s="50"/>
      <c r="CM23" s="50">
        <f t="shared" si="65"/>
        <v>0</v>
      </c>
      <c r="CN23" s="50"/>
      <c r="CO23" s="50"/>
      <c r="CP23" s="50"/>
      <c r="CQ23" s="50"/>
      <c r="CR23" s="50"/>
      <c r="CS23" s="50">
        <f t="shared" ref="CS23:CS36" si="68">CR23+CQ23</f>
        <v>0</v>
      </c>
    </row>
    <row r="24" spans="1:97" ht="15" customHeight="1" x14ac:dyDescent="0.25">
      <c r="A24" s="51" t="s">
        <v>183</v>
      </c>
      <c r="B24" s="50"/>
      <c r="C24" s="50"/>
      <c r="D24" s="50">
        <f t="shared" si="37"/>
        <v>0</v>
      </c>
      <c r="E24" s="50"/>
      <c r="F24" s="50"/>
      <c r="G24" s="50">
        <f t="shared" si="38"/>
        <v>0</v>
      </c>
      <c r="H24" s="50"/>
      <c r="I24" s="50"/>
      <c r="J24" s="50">
        <f t="shared" ref="J24:J36" si="69">I24+H24</f>
        <v>0</v>
      </c>
      <c r="K24" s="50"/>
      <c r="L24" s="50"/>
      <c r="M24" s="50">
        <f t="shared" si="39"/>
        <v>0</v>
      </c>
      <c r="N24" s="50"/>
      <c r="O24" s="50"/>
      <c r="P24" s="50">
        <f t="shared" si="40"/>
        <v>0</v>
      </c>
      <c r="Q24" s="50"/>
      <c r="R24" s="50"/>
      <c r="S24" s="50">
        <f t="shared" si="41"/>
        <v>0</v>
      </c>
      <c r="T24" s="50"/>
      <c r="U24" s="50"/>
      <c r="V24" s="50">
        <f t="shared" si="42"/>
        <v>0</v>
      </c>
      <c r="W24" s="50"/>
      <c r="X24" s="50"/>
      <c r="Y24" s="50">
        <f t="shared" si="43"/>
        <v>0</v>
      </c>
      <c r="Z24" s="50"/>
      <c r="AA24" s="50"/>
      <c r="AB24" s="50">
        <f t="shared" si="44"/>
        <v>0</v>
      </c>
      <c r="AC24" s="50"/>
      <c r="AD24" s="50"/>
      <c r="AE24" s="50">
        <f t="shared" si="45"/>
        <v>0</v>
      </c>
      <c r="AF24" s="50"/>
      <c r="AG24" s="50"/>
      <c r="AH24" s="50">
        <f t="shared" si="46"/>
        <v>0</v>
      </c>
      <c r="AI24" s="50"/>
      <c r="AJ24" s="50"/>
      <c r="AK24" s="50">
        <f t="shared" si="47"/>
        <v>0</v>
      </c>
      <c r="AL24" s="50"/>
      <c r="AM24" s="50"/>
      <c r="AN24" s="50">
        <f t="shared" si="48"/>
        <v>0</v>
      </c>
      <c r="AO24" s="50"/>
      <c r="AP24" s="50"/>
      <c r="AQ24" s="50">
        <f t="shared" si="49"/>
        <v>0</v>
      </c>
      <c r="AR24" s="50"/>
      <c r="AS24" s="50"/>
      <c r="AT24" s="50">
        <f t="shared" si="50"/>
        <v>0</v>
      </c>
      <c r="AU24" s="50"/>
      <c r="AV24" s="50"/>
      <c r="AW24" s="50">
        <f t="shared" si="51"/>
        <v>0</v>
      </c>
      <c r="AX24" s="50"/>
      <c r="AY24" s="50"/>
      <c r="AZ24" s="50">
        <f t="shared" si="52"/>
        <v>0</v>
      </c>
      <c r="BA24" s="50"/>
      <c r="BB24" s="50"/>
      <c r="BC24" s="50">
        <f t="shared" si="53"/>
        <v>0</v>
      </c>
      <c r="BD24" s="50"/>
      <c r="BE24" s="50"/>
      <c r="BF24" s="50">
        <f t="shared" si="54"/>
        <v>0</v>
      </c>
      <c r="BG24" s="50"/>
      <c r="BH24" s="50"/>
      <c r="BI24" s="50">
        <f t="shared" si="55"/>
        <v>0</v>
      </c>
      <c r="BJ24" s="50"/>
      <c r="BK24" s="50"/>
      <c r="BL24" s="50">
        <f t="shared" si="56"/>
        <v>0</v>
      </c>
      <c r="BM24" s="50"/>
      <c r="BN24" s="50"/>
      <c r="BO24" s="50">
        <f t="shared" si="67"/>
        <v>0</v>
      </c>
      <c r="BP24" s="50"/>
      <c r="BQ24" s="50"/>
      <c r="BR24" s="50">
        <f t="shared" si="58"/>
        <v>0</v>
      </c>
      <c r="BS24" s="50"/>
      <c r="BT24" s="50"/>
      <c r="BU24" s="50">
        <f t="shared" si="59"/>
        <v>0</v>
      </c>
      <c r="BV24" s="50"/>
      <c r="BW24" s="50"/>
      <c r="BX24" s="50">
        <f t="shared" si="60"/>
        <v>0</v>
      </c>
      <c r="BY24" s="50"/>
      <c r="BZ24" s="50"/>
      <c r="CA24" s="50">
        <f t="shared" ref="CA24:CA35" si="70">BZ24+BY24</f>
        <v>0</v>
      </c>
      <c r="CB24" s="50"/>
      <c r="CC24" s="50"/>
      <c r="CD24" s="50">
        <f t="shared" si="62"/>
        <v>0</v>
      </c>
      <c r="CE24" s="50"/>
      <c r="CF24" s="50"/>
      <c r="CG24" s="50">
        <f t="shared" si="63"/>
        <v>0</v>
      </c>
      <c r="CH24" s="50"/>
      <c r="CI24" s="50"/>
      <c r="CJ24" s="50">
        <f t="shared" si="64"/>
        <v>0</v>
      </c>
      <c r="CK24" s="50"/>
      <c r="CL24" s="50"/>
      <c r="CM24" s="50">
        <f t="shared" si="65"/>
        <v>0</v>
      </c>
      <c r="CN24" s="50"/>
      <c r="CO24" s="50"/>
      <c r="CP24" s="50">
        <f t="shared" ref="CP24:CP34" si="71">CO24+CN24</f>
        <v>0</v>
      </c>
      <c r="CQ24" s="50"/>
      <c r="CR24" s="50"/>
      <c r="CS24" s="50">
        <f t="shared" si="68"/>
        <v>0</v>
      </c>
    </row>
    <row r="25" spans="1:97" ht="15" customHeight="1" x14ac:dyDescent="0.25">
      <c r="A25" s="51" t="s">
        <v>184</v>
      </c>
      <c r="B25" s="50"/>
      <c r="C25" s="50"/>
      <c r="D25" s="50">
        <f t="shared" si="37"/>
        <v>0</v>
      </c>
      <c r="E25" s="50"/>
      <c r="F25" s="50"/>
      <c r="G25" s="50">
        <f t="shared" si="38"/>
        <v>0</v>
      </c>
      <c r="H25" s="50"/>
      <c r="I25" s="50"/>
      <c r="J25" s="50">
        <f t="shared" si="69"/>
        <v>0</v>
      </c>
      <c r="K25" s="50"/>
      <c r="L25" s="50"/>
      <c r="M25" s="50">
        <f t="shared" si="39"/>
        <v>0</v>
      </c>
      <c r="N25" s="50"/>
      <c r="O25" s="50"/>
      <c r="P25" s="50">
        <f t="shared" si="40"/>
        <v>0</v>
      </c>
      <c r="Q25" s="50"/>
      <c r="R25" s="50"/>
      <c r="S25" s="50">
        <f t="shared" si="41"/>
        <v>0</v>
      </c>
      <c r="T25" s="50"/>
      <c r="U25" s="50"/>
      <c r="V25" s="50">
        <f t="shared" si="42"/>
        <v>0</v>
      </c>
      <c r="W25" s="50"/>
      <c r="X25" s="50"/>
      <c r="Y25" s="50">
        <f t="shared" si="43"/>
        <v>0</v>
      </c>
      <c r="Z25" s="50"/>
      <c r="AA25" s="50"/>
      <c r="AB25" s="50">
        <f t="shared" si="44"/>
        <v>0</v>
      </c>
      <c r="AC25" s="50"/>
      <c r="AD25" s="50"/>
      <c r="AE25" s="50">
        <f t="shared" si="45"/>
        <v>0</v>
      </c>
      <c r="AF25" s="50"/>
      <c r="AG25" s="50"/>
      <c r="AH25" s="50">
        <f t="shared" si="46"/>
        <v>0</v>
      </c>
      <c r="AI25" s="50"/>
      <c r="AJ25" s="50"/>
      <c r="AK25" s="50">
        <f t="shared" si="47"/>
        <v>0</v>
      </c>
      <c r="AL25" s="50"/>
      <c r="AM25" s="50"/>
      <c r="AN25" s="50">
        <f t="shared" si="48"/>
        <v>0</v>
      </c>
      <c r="AO25" s="50"/>
      <c r="AP25" s="50"/>
      <c r="AQ25" s="50">
        <f t="shared" si="49"/>
        <v>0</v>
      </c>
      <c r="AR25" s="50"/>
      <c r="AS25" s="50"/>
      <c r="AT25" s="50">
        <f t="shared" si="50"/>
        <v>0</v>
      </c>
      <c r="AU25" s="50"/>
      <c r="AV25" s="50"/>
      <c r="AW25" s="50">
        <f t="shared" si="51"/>
        <v>0</v>
      </c>
      <c r="AX25" s="50"/>
      <c r="AY25" s="50"/>
      <c r="AZ25" s="50">
        <f t="shared" si="52"/>
        <v>0</v>
      </c>
      <c r="BA25" s="50"/>
      <c r="BB25" s="50"/>
      <c r="BC25" s="50">
        <f t="shared" si="53"/>
        <v>0</v>
      </c>
      <c r="BD25" s="50"/>
      <c r="BE25" s="50"/>
      <c r="BF25" s="50">
        <f t="shared" si="54"/>
        <v>0</v>
      </c>
      <c r="BG25" s="50"/>
      <c r="BH25" s="50"/>
      <c r="BI25" s="50">
        <f t="shared" si="55"/>
        <v>0</v>
      </c>
      <c r="BJ25" s="50"/>
      <c r="BK25" s="50"/>
      <c r="BL25" s="50">
        <f t="shared" si="56"/>
        <v>0</v>
      </c>
      <c r="BM25" s="50"/>
      <c r="BN25" s="50"/>
      <c r="BO25" s="50">
        <f t="shared" si="67"/>
        <v>0</v>
      </c>
      <c r="BP25" s="50"/>
      <c r="BQ25" s="50"/>
      <c r="BR25" s="50">
        <f t="shared" si="58"/>
        <v>0</v>
      </c>
      <c r="BS25" s="50"/>
      <c r="BT25" s="50"/>
      <c r="BU25" s="50">
        <f t="shared" si="59"/>
        <v>0</v>
      </c>
      <c r="BV25" s="50"/>
      <c r="BW25" s="50"/>
      <c r="BX25" s="50">
        <f t="shared" si="60"/>
        <v>0</v>
      </c>
      <c r="BY25" s="50"/>
      <c r="BZ25" s="50"/>
      <c r="CA25" s="50">
        <f t="shared" si="70"/>
        <v>0</v>
      </c>
      <c r="CB25" s="50"/>
      <c r="CC25" s="50"/>
      <c r="CD25" s="50">
        <f t="shared" si="62"/>
        <v>0</v>
      </c>
      <c r="CE25" s="50"/>
      <c r="CF25" s="50"/>
      <c r="CG25" s="50">
        <f t="shared" si="63"/>
        <v>0</v>
      </c>
      <c r="CH25" s="50"/>
      <c r="CI25" s="50"/>
      <c r="CJ25" s="50">
        <f t="shared" si="64"/>
        <v>0</v>
      </c>
      <c r="CK25" s="50"/>
      <c r="CL25" s="50"/>
      <c r="CM25" s="50">
        <f t="shared" si="65"/>
        <v>0</v>
      </c>
      <c r="CN25" s="50"/>
      <c r="CO25" s="50"/>
      <c r="CP25" s="50">
        <f t="shared" si="71"/>
        <v>0</v>
      </c>
      <c r="CQ25" s="50"/>
      <c r="CR25" s="50"/>
      <c r="CS25" s="50">
        <f t="shared" si="68"/>
        <v>0</v>
      </c>
    </row>
    <row r="26" spans="1:97" ht="15" customHeight="1" x14ac:dyDescent="0.25">
      <c r="A26" s="51" t="s">
        <v>185</v>
      </c>
      <c r="B26" s="50"/>
      <c r="C26" s="50"/>
      <c r="D26" s="50">
        <f t="shared" si="37"/>
        <v>0</v>
      </c>
      <c r="E26" s="50"/>
      <c r="F26" s="50"/>
      <c r="G26" s="50">
        <f t="shared" si="38"/>
        <v>0</v>
      </c>
      <c r="H26" s="50"/>
      <c r="I26" s="50"/>
      <c r="J26" s="50">
        <f t="shared" si="69"/>
        <v>0</v>
      </c>
      <c r="K26" s="50"/>
      <c r="L26" s="50"/>
      <c r="M26" s="50">
        <f t="shared" si="39"/>
        <v>0</v>
      </c>
      <c r="N26" s="50"/>
      <c r="O26" s="50"/>
      <c r="P26" s="50">
        <f t="shared" si="40"/>
        <v>0</v>
      </c>
      <c r="Q26" s="50"/>
      <c r="R26" s="50"/>
      <c r="S26" s="50">
        <f t="shared" si="41"/>
        <v>0</v>
      </c>
      <c r="T26" s="50"/>
      <c r="U26" s="50"/>
      <c r="V26" s="50">
        <f t="shared" si="42"/>
        <v>0</v>
      </c>
      <c r="W26" s="50"/>
      <c r="X26" s="50">
        <v>1112</v>
      </c>
      <c r="Y26" s="50">
        <f t="shared" si="43"/>
        <v>1112</v>
      </c>
      <c r="Z26" s="50"/>
      <c r="AA26" s="50"/>
      <c r="AB26" s="50">
        <f t="shared" si="44"/>
        <v>0</v>
      </c>
      <c r="AC26" s="50"/>
      <c r="AD26" s="50"/>
      <c r="AE26" s="50">
        <f t="shared" si="45"/>
        <v>0</v>
      </c>
      <c r="AF26" s="50">
        <v>91740</v>
      </c>
      <c r="AG26" s="50">
        <v>374618</v>
      </c>
      <c r="AH26" s="50">
        <f t="shared" si="46"/>
        <v>466358</v>
      </c>
      <c r="AI26" s="50"/>
      <c r="AJ26" s="50"/>
      <c r="AK26" s="50">
        <f t="shared" si="47"/>
        <v>0</v>
      </c>
      <c r="AL26" s="50"/>
      <c r="AM26" s="50"/>
      <c r="AN26" s="50">
        <f t="shared" si="48"/>
        <v>0</v>
      </c>
      <c r="AO26" s="50"/>
      <c r="AP26" s="50"/>
      <c r="AQ26" s="50">
        <f t="shared" si="49"/>
        <v>0</v>
      </c>
      <c r="AR26" s="50"/>
      <c r="AS26" s="50"/>
      <c r="AT26" s="50">
        <f t="shared" si="50"/>
        <v>0</v>
      </c>
      <c r="AU26" s="50"/>
      <c r="AV26" s="50"/>
      <c r="AW26" s="50">
        <f t="shared" si="51"/>
        <v>0</v>
      </c>
      <c r="AX26" s="50"/>
      <c r="AY26" s="50"/>
      <c r="AZ26" s="50">
        <f t="shared" si="52"/>
        <v>0</v>
      </c>
      <c r="BA26" s="50"/>
      <c r="BB26" s="50"/>
      <c r="BC26" s="50">
        <f t="shared" si="53"/>
        <v>0</v>
      </c>
      <c r="BD26" s="50"/>
      <c r="BE26" s="50"/>
      <c r="BF26" s="50">
        <f t="shared" si="54"/>
        <v>0</v>
      </c>
      <c r="BG26" s="50"/>
      <c r="BH26" s="50"/>
      <c r="BI26" s="50">
        <f t="shared" si="55"/>
        <v>0</v>
      </c>
      <c r="BJ26" s="50"/>
      <c r="BK26" s="50"/>
      <c r="BL26" s="50">
        <f t="shared" si="56"/>
        <v>0</v>
      </c>
      <c r="BM26" s="50">
        <v>260686</v>
      </c>
      <c r="BN26" s="50">
        <v>1476090</v>
      </c>
      <c r="BO26" s="50">
        <f t="shared" si="67"/>
        <v>1736776</v>
      </c>
      <c r="BP26" s="50"/>
      <c r="BQ26" s="50"/>
      <c r="BR26" s="50">
        <f t="shared" si="58"/>
        <v>0</v>
      </c>
      <c r="BS26" s="50">
        <v>638496</v>
      </c>
      <c r="BT26" s="50">
        <v>2952435</v>
      </c>
      <c r="BU26" s="50">
        <f t="shared" si="59"/>
        <v>3590931</v>
      </c>
      <c r="BV26" s="50"/>
      <c r="BW26" s="50"/>
      <c r="BX26" s="50">
        <f t="shared" si="60"/>
        <v>0</v>
      </c>
      <c r="BY26" s="50"/>
      <c r="BZ26" s="50"/>
      <c r="CA26" s="50">
        <f t="shared" si="70"/>
        <v>0</v>
      </c>
      <c r="CB26" s="50"/>
      <c r="CC26" s="50"/>
      <c r="CD26" s="50">
        <f t="shared" si="62"/>
        <v>0</v>
      </c>
      <c r="CE26" s="50"/>
      <c r="CF26" s="50"/>
      <c r="CG26" s="50">
        <f t="shared" si="63"/>
        <v>0</v>
      </c>
      <c r="CH26" s="50"/>
      <c r="CI26" s="50"/>
      <c r="CJ26" s="50">
        <f t="shared" si="64"/>
        <v>0</v>
      </c>
      <c r="CK26" s="50"/>
      <c r="CL26" s="50"/>
      <c r="CM26" s="50">
        <f t="shared" si="65"/>
        <v>0</v>
      </c>
      <c r="CN26" s="50"/>
      <c r="CO26" s="50"/>
      <c r="CP26" s="50">
        <f t="shared" si="71"/>
        <v>0</v>
      </c>
      <c r="CQ26" s="50">
        <v>36938</v>
      </c>
      <c r="CR26" s="50">
        <v>293752</v>
      </c>
      <c r="CS26" s="50">
        <f t="shared" si="68"/>
        <v>330690</v>
      </c>
    </row>
    <row r="27" spans="1:97" ht="15" customHeight="1" x14ac:dyDescent="0.25">
      <c r="A27" s="51" t="s">
        <v>186</v>
      </c>
      <c r="B27" s="50"/>
      <c r="C27" s="50"/>
      <c r="D27" s="50">
        <f t="shared" si="37"/>
        <v>0</v>
      </c>
      <c r="E27" s="50"/>
      <c r="F27" s="50"/>
      <c r="G27" s="50">
        <f t="shared" si="38"/>
        <v>0</v>
      </c>
      <c r="H27" s="50"/>
      <c r="I27" s="50"/>
      <c r="J27" s="50">
        <f t="shared" si="69"/>
        <v>0</v>
      </c>
      <c r="K27" s="50"/>
      <c r="L27" s="50"/>
      <c r="M27" s="50">
        <f t="shared" si="39"/>
        <v>0</v>
      </c>
      <c r="N27" s="50"/>
      <c r="O27" s="50"/>
      <c r="P27" s="50">
        <f t="shared" si="40"/>
        <v>0</v>
      </c>
      <c r="Q27" s="50"/>
      <c r="R27" s="50"/>
      <c r="S27" s="50">
        <f t="shared" si="41"/>
        <v>0</v>
      </c>
      <c r="T27" s="50"/>
      <c r="U27" s="50"/>
      <c r="V27" s="50">
        <f t="shared" si="42"/>
        <v>0</v>
      </c>
      <c r="W27" s="50"/>
      <c r="X27" s="50"/>
      <c r="Y27" s="50">
        <f t="shared" si="43"/>
        <v>0</v>
      </c>
      <c r="Z27" s="50"/>
      <c r="AA27" s="50"/>
      <c r="AB27" s="50">
        <f t="shared" si="44"/>
        <v>0</v>
      </c>
      <c r="AC27" s="50"/>
      <c r="AD27" s="50"/>
      <c r="AE27" s="50">
        <f t="shared" si="45"/>
        <v>0</v>
      </c>
      <c r="AF27" s="50"/>
      <c r="AG27" s="50"/>
      <c r="AH27" s="50">
        <f t="shared" si="46"/>
        <v>0</v>
      </c>
      <c r="AI27" s="50"/>
      <c r="AJ27" s="50"/>
      <c r="AK27" s="50">
        <f t="shared" si="47"/>
        <v>0</v>
      </c>
      <c r="AL27" s="50"/>
      <c r="AM27" s="50"/>
      <c r="AN27" s="50">
        <f t="shared" si="48"/>
        <v>0</v>
      </c>
      <c r="AO27" s="50"/>
      <c r="AP27" s="50"/>
      <c r="AQ27" s="50">
        <f t="shared" si="49"/>
        <v>0</v>
      </c>
      <c r="AR27" s="50"/>
      <c r="AS27" s="50"/>
      <c r="AT27" s="50">
        <f t="shared" si="50"/>
        <v>0</v>
      </c>
      <c r="AU27" s="50">
        <v>2554</v>
      </c>
      <c r="AV27" s="50">
        <v>17069</v>
      </c>
      <c r="AW27" s="50">
        <f t="shared" si="51"/>
        <v>19623</v>
      </c>
      <c r="AX27" s="50"/>
      <c r="AY27" s="50"/>
      <c r="AZ27" s="50">
        <f t="shared" si="52"/>
        <v>0</v>
      </c>
      <c r="BA27" s="50"/>
      <c r="BB27" s="50"/>
      <c r="BC27" s="50">
        <f t="shared" si="53"/>
        <v>0</v>
      </c>
      <c r="BD27" s="50"/>
      <c r="BE27" s="50"/>
      <c r="BF27" s="50">
        <f t="shared" si="54"/>
        <v>0</v>
      </c>
      <c r="BG27" s="50"/>
      <c r="BH27" s="50"/>
      <c r="BI27" s="50">
        <f t="shared" si="55"/>
        <v>0</v>
      </c>
      <c r="BJ27" s="50"/>
      <c r="BK27" s="50"/>
      <c r="BL27" s="50">
        <f t="shared" si="56"/>
        <v>0</v>
      </c>
      <c r="BM27" s="50"/>
      <c r="BN27" s="50"/>
      <c r="BO27" s="50">
        <f t="shared" si="67"/>
        <v>0</v>
      </c>
      <c r="BP27" s="50"/>
      <c r="BQ27" s="50"/>
      <c r="BR27" s="50">
        <f t="shared" si="58"/>
        <v>0</v>
      </c>
      <c r="BS27" s="50"/>
      <c r="BT27" s="50"/>
      <c r="BU27" s="50">
        <f t="shared" si="59"/>
        <v>0</v>
      </c>
      <c r="BV27" s="50"/>
      <c r="BW27" s="50"/>
      <c r="BX27" s="50">
        <f t="shared" si="60"/>
        <v>0</v>
      </c>
      <c r="BY27" s="50"/>
      <c r="BZ27" s="50"/>
      <c r="CA27" s="50">
        <f t="shared" si="70"/>
        <v>0</v>
      </c>
      <c r="CB27" s="50"/>
      <c r="CC27" s="50"/>
      <c r="CD27" s="50">
        <f t="shared" si="62"/>
        <v>0</v>
      </c>
      <c r="CE27" s="50"/>
      <c r="CF27" s="50"/>
      <c r="CG27" s="50">
        <f t="shared" si="63"/>
        <v>0</v>
      </c>
      <c r="CH27" s="50"/>
      <c r="CI27" s="50"/>
      <c r="CJ27" s="50">
        <f t="shared" si="64"/>
        <v>0</v>
      </c>
      <c r="CK27" s="50"/>
      <c r="CL27" s="50">
        <v>77</v>
      </c>
      <c r="CM27" s="50">
        <f t="shared" si="65"/>
        <v>77</v>
      </c>
      <c r="CN27" s="50"/>
      <c r="CO27" s="50"/>
      <c r="CP27" s="50">
        <f t="shared" si="71"/>
        <v>0</v>
      </c>
      <c r="CQ27" s="50"/>
      <c r="CR27" s="50"/>
      <c r="CS27" s="50">
        <f t="shared" si="68"/>
        <v>0</v>
      </c>
    </row>
    <row r="28" spans="1:97" ht="15" customHeight="1" x14ac:dyDescent="0.25">
      <c r="A28" s="51" t="s">
        <v>187</v>
      </c>
      <c r="B28" s="50">
        <v>38051</v>
      </c>
      <c r="C28" s="50">
        <v>119557</v>
      </c>
      <c r="D28" s="50">
        <f t="shared" si="37"/>
        <v>157608</v>
      </c>
      <c r="E28" s="50"/>
      <c r="F28" s="50">
        <v>950904</v>
      </c>
      <c r="G28" s="50">
        <f t="shared" si="38"/>
        <v>950904</v>
      </c>
      <c r="H28" s="50"/>
      <c r="I28" s="50"/>
      <c r="J28" s="50">
        <v>48483</v>
      </c>
      <c r="K28" s="50"/>
      <c r="L28" s="50"/>
      <c r="M28" s="50">
        <f t="shared" si="39"/>
        <v>0</v>
      </c>
      <c r="N28" s="50">
        <v>311129</v>
      </c>
      <c r="O28" s="50">
        <v>1917588</v>
      </c>
      <c r="P28" s="50">
        <f t="shared" si="40"/>
        <v>2228717</v>
      </c>
      <c r="Q28" s="50">
        <v>9490</v>
      </c>
      <c r="R28" s="50">
        <v>80550</v>
      </c>
      <c r="S28" s="50">
        <f t="shared" si="41"/>
        <v>90040</v>
      </c>
      <c r="T28" s="50">
        <v>1829218.05</v>
      </c>
      <c r="U28" s="50">
        <v>2424777.42</v>
      </c>
      <c r="V28" s="50">
        <f t="shared" si="42"/>
        <v>4253995.47</v>
      </c>
      <c r="W28" s="50">
        <v>34001</v>
      </c>
      <c r="X28" s="50">
        <v>90002</v>
      </c>
      <c r="Y28" s="50">
        <f t="shared" si="43"/>
        <v>124003</v>
      </c>
      <c r="Z28" s="50">
        <v>192</v>
      </c>
      <c r="AA28" s="50">
        <v>674</v>
      </c>
      <c r="AB28" s="50">
        <f t="shared" si="44"/>
        <v>866</v>
      </c>
      <c r="AC28" s="50"/>
      <c r="AD28" s="50">
        <v>751164</v>
      </c>
      <c r="AE28" s="50">
        <f t="shared" si="45"/>
        <v>751164</v>
      </c>
      <c r="AF28" s="50">
        <v>1710743</v>
      </c>
      <c r="AG28" s="50">
        <v>6985810</v>
      </c>
      <c r="AH28" s="50">
        <f t="shared" si="46"/>
        <v>8696553</v>
      </c>
      <c r="AI28" s="50">
        <v>1932657</v>
      </c>
      <c r="AJ28" s="50">
        <v>5286202</v>
      </c>
      <c r="AK28" s="50">
        <f t="shared" si="47"/>
        <v>7218859</v>
      </c>
      <c r="AL28" s="50">
        <v>206974</v>
      </c>
      <c r="AM28" s="50">
        <v>703572</v>
      </c>
      <c r="AN28" s="50">
        <f t="shared" si="48"/>
        <v>910546</v>
      </c>
      <c r="AO28" s="50">
        <v>34540</v>
      </c>
      <c r="AP28" s="50">
        <v>113148</v>
      </c>
      <c r="AQ28" s="50">
        <f t="shared" si="49"/>
        <v>147688</v>
      </c>
      <c r="AR28" s="50">
        <v>181295</v>
      </c>
      <c r="AS28" s="50">
        <v>443408</v>
      </c>
      <c r="AT28" s="50">
        <f t="shared" si="50"/>
        <v>624703</v>
      </c>
      <c r="AU28" s="50">
        <v>126618</v>
      </c>
      <c r="AV28" s="50">
        <v>846078</v>
      </c>
      <c r="AW28" s="50">
        <f t="shared" si="51"/>
        <v>972696</v>
      </c>
      <c r="AX28" s="50">
        <v>8581</v>
      </c>
      <c r="AY28" s="50">
        <v>491632</v>
      </c>
      <c r="AZ28" s="50">
        <f t="shared" si="52"/>
        <v>500213</v>
      </c>
      <c r="BA28" s="50">
        <v>42385</v>
      </c>
      <c r="BB28" s="50">
        <v>731496</v>
      </c>
      <c r="BC28" s="50">
        <f t="shared" si="53"/>
        <v>773881</v>
      </c>
      <c r="BD28" s="50">
        <v>243062</v>
      </c>
      <c r="BE28" s="50">
        <v>10370528</v>
      </c>
      <c r="BF28" s="50">
        <f>BE28+BD28</f>
        <v>10613590</v>
      </c>
      <c r="BG28" s="50">
        <v>97317</v>
      </c>
      <c r="BH28" s="50">
        <v>151170</v>
      </c>
      <c r="BI28" s="50">
        <f t="shared" si="55"/>
        <v>248487</v>
      </c>
      <c r="BJ28" s="50">
        <v>40319</v>
      </c>
      <c r="BK28" s="50">
        <v>119269</v>
      </c>
      <c r="BL28" s="50">
        <f t="shared" si="56"/>
        <v>159588</v>
      </c>
      <c r="BM28" s="50">
        <v>25947</v>
      </c>
      <c r="BN28" s="50">
        <v>146918</v>
      </c>
      <c r="BO28" s="50">
        <f t="shared" si="67"/>
        <v>172865</v>
      </c>
      <c r="BP28" s="50"/>
      <c r="BQ28" s="50">
        <v>855655</v>
      </c>
      <c r="BR28" s="50">
        <f t="shared" si="58"/>
        <v>855655</v>
      </c>
      <c r="BS28" s="50">
        <v>208706</v>
      </c>
      <c r="BT28" s="50">
        <v>965066</v>
      </c>
      <c r="BU28" s="50">
        <f t="shared" si="59"/>
        <v>1173772</v>
      </c>
      <c r="BV28" s="50">
        <v>1217283</v>
      </c>
      <c r="BW28" s="50">
        <v>2724153</v>
      </c>
      <c r="BX28" s="50">
        <f t="shared" si="60"/>
        <v>3941436</v>
      </c>
      <c r="BY28" s="50"/>
      <c r="BZ28" s="50"/>
      <c r="CA28" s="50">
        <f t="shared" si="70"/>
        <v>0</v>
      </c>
      <c r="CB28" s="50">
        <v>1808908</v>
      </c>
      <c r="CC28" s="50">
        <v>2221184</v>
      </c>
      <c r="CD28" s="50">
        <f t="shared" si="62"/>
        <v>4030092</v>
      </c>
      <c r="CE28" s="50"/>
      <c r="CF28" s="50"/>
      <c r="CG28" s="50">
        <f t="shared" si="63"/>
        <v>0</v>
      </c>
      <c r="CH28" s="50"/>
      <c r="CI28" s="50"/>
      <c r="CJ28" s="50">
        <f t="shared" si="64"/>
        <v>0</v>
      </c>
      <c r="CK28" s="50">
        <v>712409</v>
      </c>
      <c r="CL28" s="50">
        <v>10909267</v>
      </c>
      <c r="CM28" s="50">
        <f t="shared" si="65"/>
        <v>11621676</v>
      </c>
      <c r="CN28" s="50"/>
      <c r="CO28" s="50"/>
      <c r="CP28" s="50">
        <v>8627574</v>
      </c>
      <c r="CQ28" s="50">
        <v>11914</v>
      </c>
      <c r="CR28" s="50">
        <v>94745</v>
      </c>
      <c r="CS28" s="50">
        <f t="shared" si="68"/>
        <v>106659</v>
      </c>
    </row>
    <row r="29" spans="1:97" ht="15" customHeight="1" x14ac:dyDescent="0.25">
      <c r="A29" s="51" t="s">
        <v>188</v>
      </c>
      <c r="B29" s="50">
        <v>26911</v>
      </c>
      <c r="C29" s="50">
        <v>84556</v>
      </c>
      <c r="D29" s="50">
        <f t="shared" si="37"/>
        <v>111467</v>
      </c>
      <c r="E29" s="50"/>
      <c r="F29" s="50"/>
      <c r="G29" s="50">
        <f t="shared" si="38"/>
        <v>0</v>
      </c>
      <c r="H29" s="50"/>
      <c r="I29" s="50"/>
      <c r="J29" s="50">
        <v>2625544</v>
      </c>
      <c r="K29" s="50">
        <v>2071903</v>
      </c>
      <c r="L29" s="50">
        <v>2610911</v>
      </c>
      <c r="M29" s="50">
        <f t="shared" si="39"/>
        <v>4682814</v>
      </c>
      <c r="N29" s="50">
        <v>248280</v>
      </c>
      <c r="O29" s="50">
        <v>1530232</v>
      </c>
      <c r="P29" s="50">
        <f t="shared" si="40"/>
        <v>1778512</v>
      </c>
      <c r="Q29" s="50">
        <v>565144</v>
      </c>
      <c r="R29" s="50">
        <v>4796979</v>
      </c>
      <c r="S29" s="50">
        <f t="shared" si="41"/>
        <v>5362123</v>
      </c>
      <c r="T29" s="50">
        <v>1334738.5</v>
      </c>
      <c r="U29" s="50">
        <v>1769304.53</v>
      </c>
      <c r="V29" s="50">
        <f t="shared" si="42"/>
        <v>3104043.0300000003</v>
      </c>
      <c r="W29" s="50"/>
      <c r="X29" s="50">
        <v>296561</v>
      </c>
      <c r="Y29" s="50">
        <f t="shared" si="43"/>
        <v>296561</v>
      </c>
      <c r="Z29" s="50">
        <v>192050</v>
      </c>
      <c r="AA29" s="50">
        <v>674299</v>
      </c>
      <c r="AB29" s="50">
        <f t="shared" si="44"/>
        <v>866349</v>
      </c>
      <c r="AC29" s="50"/>
      <c r="AD29" s="50">
        <v>1271183</v>
      </c>
      <c r="AE29" s="50">
        <f t="shared" si="45"/>
        <v>1271183</v>
      </c>
      <c r="AF29" s="50">
        <v>579731</v>
      </c>
      <c r="AG29" s="50">
        <v>2367330</v>
      </c>
      <c r="AH29" s="50">
        <f t="shared" si="46"/>
        <v>2947061</v>
      </c>
      <c r="AI29" s="50">
        <v>2067413</v>
      </c>
      <c r="AJ29" s="50">
        <v>6535645</v>
      </c>
      <c r="AK29" s="50">
        <f t="shared" si="47"/>
        <v>8603058</v>
      </c>
      <c r="AL29" s="50">
        <v>466530</v>
      </c>
      <c r="AM29" s="50">
        <v>1585885</v>
      </c>
      <c r="AN29" s="50">
        <f t="shared" si="48"/>
        <v>2052415</v>
      </c>
      <c r="AO29" s="50">
        <v>140498</v>
      </c>
      <c r="AP29" s="50">
        <v>460257</v>
      </c>
      <c r="AQ29" s="50">
        <f t="shared" si="49"/>
        <v>600755</v>
      </c>
      <c r="AR29" s="50">
        <v>274045</v>
      </c>
      <c r="AS29" s="50">
        <v>728030</v>
      </c>
      <c r="AT29" s="50">
        <f t="shared" si="50"/>
        <v>1002075</v>
      </c>
      <c r="AU29" s="50">
        <v>130127</v>
      </c>
      <c r="AV29" s="50">
        <v>869523</v>
      </c>
      <c r="AW29" s="50">
        <f t="shared" si="51"/>
        <v>999650</v>
      </c>
      <c r="AX29" s="50">
        <v>303776</v>
      </c>
      <c r="AY29" s="50">
        <v>100455</v>
      </c>
      <c r="AZ29" s="50">
        <f t="shared" si="52"/>
        <v>404231</v>
      </c>
      <c r="BA29" s="50">
        <v>50396</v>
      </c>
      <c r="BB29" s="50">
        <v>650173</v>
      </c>
      <c r="BC29" s="50">
        <f t="shared" si="53"/>
        <v>700569</v>
      </c>
      <c r="BD29" s="50">
        <v>64097</v>
      </c>
      <c r="BE29" s="50">
        <v>2734781</v>
      </c>
      <c r="BF29" s="50">
        <f t="shared" si="54"/>
        <v>2798878</v>
      </c>
      <c r="BG29" s="50"/>
      <c r="BH29" s="50">
        <v>199450</v>
      </c>
      <c r="BI29" s="50">
        <f t="shared" si="55"/>
        <v>199450</v>
      </c>
      <c r="BJ29" s="50">
        <v>88888</v>
      </c>
      <c r="BK29" s="50">
        <v>262944</v>
      </c>
      <c r="BL29" s="50">
        <f t="shared" si="56"/>
        <v>351832</v>
      </c>
      <c r="BM29" s="50">
        <v>948714</v>
      </c>
      <c r="BN29" s="50">
        <v>5371936</v>
      </c>
      <c r="BO29" s="50">
        <f t="shared" si="67"/>
        <v>6320650</v>
      </c>
      <c r="BP29" s="50">
        <v>349540</v>
      </c>
      <c r="BQ29" s="50">
        <v>573843</v>
      </c>
      <c r="BR29" s="50">
        <f t="shared" si="58"/>
        <v>923383</v>
      </c>
      <c r="BS29" s="50">
        <v>868007</v>
      </c>
      <c r="BT29" s="50">
        <v>4013705</v>
      </c>
      <c r="BU29" s="50">
        <f t="shared" si="59"/>
        <v>4881712</v>
      </c>
      <c r="BV29" s="50"/>
      <c r="BW29" s="50">
        <v>1916756</v>
      </c>
      <c r="BX29" s="50">
        <f t="shared" si="60"/>
        <v>1916756</v>
      </c>
      <c r="BY29" s="50"/>
      <c r="BZ29" s="50"/>
      <c r="CA29" s="50">
        <f t="shared" si="70"/>
        <v>0</v>
      </c>
      <c r="CB29" s="50"/>
      <c r="CC29" s="50"/>
      <c r="CD29" s="50">
        <f t="shared" si="62"/>
        <v>0</v>
      </c>
      <c r="CE29" s="50">
        <v>790524</v>
      </c>
      <c r="CF29" s="50">
        <v>3159506</v>
      </c>
      <c r="CG29" s="50">
        <f t="shared" si="63"/>
        <v>3950030</v>
      </c>
      <c r="CH29" s="50">
        <v>1454896</v>
      </c>
      <c r="CI29" s="50">
        <v>3395059</v>
      </c>
      <c r="CJ29" s="50">
        <f t="shared" si="64"/>
        <v>4849955</v>
      </c>
      <c r="CK29" s="50">
        <v>27738</v>
      </c>
      <c r="CL29" s="50">
        <v>424751</v>
      </c>
      <c r="CM29" s="50">
        <f t="shared" si="65"/>
        <v>452489</v>
      </c>
      <c r="CN29" s="50"/>
      <c r="CO29" s="50"/>
      <c r="CP29" s="50">
        <v>2507057</v>
      </c>
      <c r="CQ29" s="50">
        <v>196132</v>
      </c>
      <c r="CR29" s="50">
        <v>1559742</v>
      </c>
      <c r="CS29" s="50">
        <f t="shared" si="68"/>
        <v>1755874</v>
      </c>
    </row>
    <row r="30" spans="1:97" ht="15" customHeight="1" x14ac:dyDescent="0.25">
      <c r="A30" s="51" t="s">
        <v>198</v>
      </c>
      <c r="B30" s="50"/>
      <c r="C30" s="50"/>
      <c r="D30" s="50">
        <f t="shared" si="37"/>
        <v>0</v>
      </c>
      <c r="E30" s="50"/>
      <c r="F30" s="50"/>
      <c r="G30" s="50">
        <f t="shared" si="38"/>
        <v>0</v>
      </c>
      <c r="H30" s="50"/>
      <c r="I30" s="50"/>
      <c r="J30" s="50">
        <f t="shared" si="69"/>
        <v>0</v>
      </c>
      <c r="K30" s="50"/>
      <c r="L30" s="50"/>
      <c r="M30" s="50">
        <f t="shared" si="39"/>
        <v>0</v>
      </c>
      <c r="N30" s="50"/>
      <c r="O30" s="50"/>
      <c r="P30" s="50">
        <f t="shared" si="40"/>
        <v>0</v>
      </c>
      <c r="Q30" s="50"/>
      <c r="R30" s="50"/>
      <c r="S30" s="50">
        <f t="shared" si="41"/>
        <v>0</v>
      </c>
      <c r="T30" s="50"/>
      <c r="U30" s="50"/>
      <c r="V30" s="50">
        <f t="shared" si="42"/>
        <v>0</v>
      </c>
      <c r="W30" s="50"/>
      <c r="X30" s="50"/>
      <c r="Y30" s="50">
        <f t="shared" si="43"/>
        <v>0</v>
      </c>
      <c r="Z30" s="50"/>
      <c r="AA30" s="50"/>
      <c r="AB30" s="50">
        <f t="shared" si="44"/>
        <v>0</v>
      </c>
      <c r="AC30" s="50"/>
      <c r="AD30" s="50"/>
      <c r="AE30" s="50">
        <f t="shared" si="45"/>
        <v>0</v>
      </c>
      <c r="AF30" s="50"/>
      <c r="AG30" s="50"/>
      <c r="AH30" s="50">
        <f t="shared" si="46"/>
        <v>0</v>
      </c>
      <c r="AI30" s="50"/>
      <c r="AJ30" s="50"/>
      <c r="AK30" s="50">
        <f t="shared" si="47"/>
        <v>0</v>
      </c>
      <c r="AL30" s="50">
        <v>56922</v>
      </c>
      <c r="AM30" s="50">
        <v>193497</v>
      </c>
      <c r="AN30" s="50">
        <f t="shared" si="48"/>
        <v>250419</v>
      </c>
      <c r="AO30" s="50"/>
      <c r="AP30" s="50"/>
      <c r="AQ30" s="50">
        <f t="shared" si="49"/>
        <v>0</v>
      </c>
      <c r="AR30" s="50"/>
      <c r="AS30" s="50"/>
      <c r="AT30" s="50">
        <f t="shared" si="50"/>
        <v>0</v>
      </c>
      <c r="AU30" s="50"/>
      <c r="AV30" s="50"/>
      <c r="AW30" s="50">
        <f t="shared" si="51"/>
        <v>0</v>
      </c>
      <c r="AX30" s="50"/>
      <c r="AY30" s="50"/>
      <c r="AZ30" s="50">
        <f t="shared" si="52"/>
        <v>0</v>
      </c>
      <c r="BA30" s="50"/>
      <c r="BB30" s="50"/>
      <c r="BC30" s="50">
        <f t="shared" si="53"/>
        <v>0</v>
      </c>
      <c r="BD30" s="50"/>
      <c r="BE30" s="50"/>
      <c r="BF30" s="50">
        <f t="shared" si="54"/>
        <v>0</v>
      </c>
      <c r="BG30" s="50"/>
      <c r="BH30" s="50"/>
      <c r="BI30" s="50">
        <f t="shared" si="55"/>
        <v>0</v>
      </c>
      <c r="BJ30" s="50"/>
      <c r="BK30" s="50"/>
      <c r="BL30" s="50">
        <f t="shared" si="56"/>
        <v>0</v>
      </c>
      <c r="BM30" s="50"/>
      <c r="BN30" s="50"/>
      <c r="BO30" s="50">
        <f t="shared" si="67"/>
        <v>0</v>
      </c>
      <c r="BP30" s="50"/>
      <c r="BQ30" s="50"/>
      <c r="BR30" s="50">
        <f t="shared" si="58"/>
        <v>0</v>
      </c>
      <c r="BS30" s="50"/>
      <c r="BT30" s="50"/>
      <c r="BU30" s="50">
        <f t="shared" si="59"/>
        <v>0</v>
      </c>
      <c r="BV30" s="50"/>
      <c r="BW30" s="50"/>
      <c r="BX30" s="50">
        <f t="shared" si="60"/>
        <v>0</v>
      </c>
      <c r="BY30" s="50"/>
      <c r="BZ30" s="50"/>
      <c r="CA30" s="50">
        <f t="shared" si="70"/>
        <v>0</v>
      </c>
      <c r="CB30" s="50"/>
      <c r="CC30" s="50"/>
      <c r="CD30" s="50">
        <f t="shared" si="62"/>
        <v>0</v>
      </c>
      <c r="CE30" s="50"/>
      <c r="CF30" s="50"/>
      <c r="CG30" s="50">
        <f t="shared" si="63"/>
        <v>0</v>
      </c>
      <c r="CH30" s="50"/>
      <c r="CI30" s="50"/>
      <c r="CJ30" s="50">
        <f t="shared" si="64"/>
        <v>0</v>
      </c>
      <c r="CK30" s="50"/>
      <c r="CL30" s="50"/>
      <c r="CM30" s="50">
        <f t="shared" si="65"/>
        <v>0</v>
      </c>
      <c r="CN30" s="50"/>
      <c r="CO30" s="50"/>
      <c r="CP30" s="50">
        <f t="shared" si="71"/>
        <v>0</v>
      </c>
      <c r="CQ30" s="50"/>
      <c r="CR30" s="50"/>
      <c r="CS30" s="50">
        <f t="shared" si="68"/>
        <v>0</v>
      </c>
    </row>
    <row r="31" spans="1:97" ht="15" customHeight="1" x14ac:dyDescent="0.25">
      <c r="A31" s="51" t="s">
        <v>199</v>
      </c>
      <c r="B31" s="50">
        <v>70673</v>
      </c>
      <c r="C31" s="50">
        <v>222056</v>
      </c>
      <c r="D31" s="50">
        <f t="shared" si="37"/>
        <v>292729</v>
      </c>
      <c r="E31" s="50"/>
      <c r="F31" s="50"/>
      <c r="G31" s="50">
        <f t="shared" si="38"/>
        <v>0</v>
      </c>
      <c r="H31" s="50"/>
      <c r="I31" s="50"/>
      <c r="J31" s="50">
        <v>6918700</v>
      </c>
      <c r="K31" s="50">
        <v>706443</v>
      </c>
      <c r="L31" s="50">
        <f>2687282+462732</f>
        <v>3150014</v>
      </c>
      <c r="M31" s="50">
        <f t="shared" si="39"/>
        <v>3856457</v>
      </c>
      <c r="N31" s="50">
        <v>76780</v>
      </c>
      <c r="O31" s="50">
        <v>473220</v>
      </c>
      <c r="P31" s="50">
        <f t="shared" si="40"/>
        <v>550000</v>
      </c>
      <c r="Q31" s="50"/>
      <c r="R31" s="50"/>
      <c r="S31" s="50">
        <f t="shared" si="41"/>
        <v>0</v>
      </c>
      <c r="T31" s="50">
        <v>353670.15</v>
      </c>
      <c r="U31" s="50">
        <v>468818.58</v>
      </c>
      <c r="V31" s="50">
        <f t="shared" si="42"/>
        <v>822488.73</v>
      </c>
      <c r="W31" s="50"/>
      <c r="X31" s="50">
        <v>19500</v>
      </c>
      <c r="Y31" s="50">
        <f t="shared" si="43"/>
        <v>19500</v>
      </c>
      <c r="Z31" s="50">
        <v>347583</v>
      </c>
      <c r="AA31" s="50">
        <v>1220385</v>
      </c>
      <c r="AB31" s="50">
        <f t="shared" si="44"/>
        <v>1567968</v>
      </c>
      <c r="AC31" s="50"/>
      <c r="AD31" s="50"/>
      <c r="AE31" s="50">
        <f t="shared" si="45"/>
        <v>0</v>
      </c>
      <c r="AF31" s="50">
        <v>985742</v>
      </c>
      <c r="AG31" s="50">
        <v>4025271</v>
      </c>
      <c r="AH31" s="50">
        <f t="shared" si="46"/>
        <v>5011013</v>
      </c>
      <c r="AI31" s="50">
        <v>587443</v>
      </c>
      <c r="AJ31" s="50">
        <v>1857065</v>
      </c>
      <c r="AK31" s="50">
        <f t="shared" si="47"/>
        <v>2444508</v>
      </c>
      <c r="AL31" s="50"/>
      <c r="AM31" s="50"/>
      <c r="AN31" s="50">
        <f t="shared" si="48"/>
        <v>0</v>
      </c>
      <c r="AO31" s="50"/>
      <c r="AP31" s="50"/>
      <c r="AQ31" s="50">
        <f t="shared" si="49"/>
        <v>0</v>
      </c>
      <c r="AR31" s="50"/>
      <c r="AS31" s="50"/>
      <c r="AT31" s="50">
        <f t="shared" si="50"/>
        <v>0</v>
      </c>
      <c r="AU31" s="50">
        <v>40874</v>
      </c>
      <c r="AV31" s="50">
        <v>273126</v>
      </c>
      <c r="AW31" s="50">
        <f t="shared" si="51"/>
        <v>314000</v>
      </c>
      <c r="AX31" s="50"/>
      <c r="AY31" s="50"/>
      <c r="AZ31" s="50">
        <f t="shared" si="52"/>
        <v>0</v>
      </c>
      <c r="BA31" s="50"/>
      <c r="BB31" s="50"/>
      <c r="BC31" s="50">
        <f t="shared" si="53"/>
        <v>0</v>
      </c>
      <c r="BD31" s="50">
        <v>226759</v>
      </c>
      <c r="BE31" s="50">
        <v>9674941</v>
      </c>
      <c r="BF31" s="50">
        <f t="shared" si="54"/>
        <v>9901700</v>
      </c>
      <c r="BG31" s="50">
        <v>122500</v>
      </c>
      <c r="BH31" s="50"/>
      <c r="BI31" s="50">
        <f t="shared" si="55"/>
        <v>122500</v>
      </c>
      <c r="BJ31" s="50"/>
      <c r="BK31" s="50"/>
      <c r="BL31" s="50">
        <f t="shared" si="56"/>
        <v>0</v>
      </c>
      <c r="BM31" s="50">
        <v>691274</v>
      </c>
      <c r="BN31" s="50">
        <v>3914226</v>
      </c>
      <c r="BO31" s="50">
        <f t="shared" si="67"/>
        <v>4605500</v>
      </c>
      <c r="BP31" s="50"/>
      <c r="BQ31" s="50"/>
      <c r="BR31" s="50">
        <f t="shared" si="58"/>
        <v>0</v>
      </c>
      <c r="BS31" s="50">
        <v>60099</v>
      </c>
      <c r="BT31" s="50">
        <v>277901</v>
      </c>
      <c r="BU31" s="50">
        <f t="shared" si="59"/>
        <v>338000</v>
      </c>
      <c r="BV31" s="50"/>
      <c r="BW31" s="50"/>
      <c r="BX31" s="50">
        <f t="shared" si="60"/>
        <v>0</v>
      </c>
      <c r="BY31" s="50"/>
      <c r="BZ31" s="50"/>
      <c r="CA31" s="50">
        <f t="shared" si="70"/>
        <v>0</v>
      </c>
      <c r="CB31" s="50"/>
      <c r="CC31" s="50"/>
      <c r="CD31" s="50">
        <f t="shared" si="62"/>
        <v>0</v>
      </c>
      <c r="CE31" s="50">
        <v>213982</v>
      </c>
      <c r="CF31" s="50">
        <v>855227</v>
      </c>
      <c r="CG31" s="50">
        <f t="shared" si="63"/>
        <v>1069209</v>
      </c>
      <c r="CH31" s="50"/>
      <c r="CI31" s="50"/>
      <c r="CJ31" s="50">
        <f t="shared" si="64"/>
        <v>0</v>
      </c>
      <c r="CK31" s="50"/>
      <c r="CL31" s="50"/>
      <c r="CM31" s="50">
        <f t="shared" si="65"/>
        <v>0</v>
      </c>
      <c r="CN31" s="50"/>
      <c r="CO31" s="50"/>
      <c r="CP31" s="50">
        <f t="shared" si="71"/>
        <v>0</v>
      </c>
      <c r="CQ31" s="50">
        <v>123418</v>
      </c>
      <c r="CR31" s="50">
        <v>981482</v>
      </c>
      <c r="CS31" s="50">
        <f t="shared" si="68"/>
        <v>1104900</v>
      </c>
    </row>
    <row r="32" spans="1:97" ht="15" customHeight="1" x14ac:dyDescent="0.25">
      <c r="A32" s="51" t="s">
        <v>200</v>
      </c>
      <c r="B32" s="50"/>
      <c r="C32" s="50"/>
      <c r="D32" s="50">
        <f t="shared" si="37"/>
        <v>0</v>
      </c>
      <c r="E32" s="50"/>
      <c r="F32" s="50"/>
      <c r="G32" s="50">
        <f t="shared" si="38"/>
        <v>0</v>
      </c>
      <c r="H32" s="50"/>
      <c r="I32" s="50"/>
      <c r="J32" s="50">
        <f t="shared" si="69"/>
        <v>0</v>
      </c>
      <c r="K32" s="50"/>
      <c r="L32" s="50"/>
      <c r="M32" s="50">
        <f t="shared" si="39"/>
        <v>0</v>
      </c>
      <c r="N32" s="50"/>
      <c r="O32" s="50"/>
      <c r="P32" s="50">
        <f t="shared" si="40"/>
        <v>0</v>
      </c>
      <c r="Q32" s="50">
        <v>595991</v>
      </c>
      <c r="R32" s="50">
        <v>5058809</v>
      </c>
      <c r="S32" s="50">
        <f t="shared" si="41"/>
        <v>5654800</v>
      </c>
      <c r="T32" s="50"/>
      <c r="U32" s="50"/>
      <c r="V32" s="50">
        <f t="shared" si="42"/>
        <v>0</v>
      </c>
      <c r="W32" s="50"/>
      <c r="X32" s="50"/>
      <c r="Y32" s="50">
        <f t="shared" si="43"/>
        <v>0</v>
      </c>
      <c r="Z32" s="50"/>
      <c r="AA32" s="50"/>
      <c r="AB32" s="50">
        <f t="shared" si="44"/>
        <v>0</v>
      </c>
      <c r="AC32" s="50"/>
      <c r="AD32" s="50"/>
      <c r="AE32" s="50">
        <f t="shared" si="45"/>
        <v>0</v>
      </c>
      <c r="AF32" s="50"/>
      <c r="AG32" s="50"/>
      <c r="AH32" s="50">
        <f t="shared" si="46"/>
        <v>0</v>
      </c>
      <c r="AI32" s="50"/>
      <c r="AJ32" s="50"/>
      <c r="AK32" s="50">
        <f t="shared" si="47"/>
        <v>0</v>
      </c>
      <c r="AL32" s="50"/>
      <c r="AM32" s="50"/>
      <c r="AN32" s="50">
        <f t="shared" si="48"/>
        <v>0</v>
      </c>
      <c r="AO32" s="50"/>
      <c r="AP32" s="50"/>
      <c r="AQ32" s="50">
        <f t="shared" si="49"/>
        <v>0</v>
      </c>
      <c r="AR32" s="50"/>
      <c r="AS32" s="50"/>
      <c r="AT32" s="50">
        <f t="shared" si="50"/>
        <v>0</v>
      </c>
      <c r="AU32" s="50"/>
      <c r="AV32" s="50"/>
      <c r="AW32" s="50">
        <f t="shared" si="51"/>
        <v>0</v>
      </c>
      <c r="AX32" s="50"/>
      <c r="AY32" s="50"/>
      <c r="AZ32" s="50">
        <f t="shared" si="52"/>
        <v>0</v>
      </c>
      <c r="BA32" s="50">
        <v>79600</v>
      </c>
      <c r="BB32" s="50">
        <v>1188000</v>
      </c>
      <c r="BC32" s="50">
        <f t="shared" si="53"/>
        <v>1267600</v>
      </c>
      <c r="BD32" s="50"/>
      <c r="BE32" s="50"/>
      <c r="BF32" s="50">
        <f>BE32+BD32</f>
        <v>0</v>
      </c>
      <c r="BG32" s="50"/>
      <c r="BH32" s="50"/>
      <c r="BI32" s="50">
        <f t="shared" si="55"/>
        <v>0</v>
      </c>
      <c r="BJ32" s="50">
        <v>23932</v>
      </c>
      <c r="BK32" s="50">
        <v>70794</v>
      </c>
      <c r="BL32" s="50">
        <f t="shared" si="56"/>
        <v>94726</v>
      </c>
      <c r="BM32" s="50"/>
      <c r="BN32" s="50"/>
      <c r="BO32" s="50">
        <f t="shared" si="67"/>
        <v>0</v>
      </c>
      <c r="BP32" s="50"/>
      <c r="BQ32" s="50"/>
      <c r="BR32" s="50">
        <f t="shared" si="58"/>
        <v>0</v>
      </c>
      <c r="BS32" s="50"/>
      <c r="BT32" s="50"/>
      <c r="BU32" s="50">
        <f t="shared" si="59"/>
        <v>0</v>
      </c>
      <c r="BV32" s="50"/>
      <c r="BW32" s="50"/>
      <c r="BX32" s="50">
        <f t="shared" si="60"/>
        <v>0</v>
      </c>
      <c r="BY32" s="50"/>
      <c r="BZ32" s="50"/>
      <c r="CA32" s="50">
        <f t="shared" si="70"/>
        <v>0</v>
      </c>
      <c r="CB32" s="50"/>
      <c r="CC32" s="50"/>
      <c r="CD32" s="50">
        <f t="shared" si="62"/>
        <v>0</v>
      </c>
      <c r="CE32" s="50"/>
      <c r="CF32" s="50"/>
      <c r="CG32" s="50">
        <f t="shared" si="63"/>
        <v>0</v>
      </c>
      <c r="CH32" s="50"/>
      <c r="CI32" s="50"/>
      <c r="CJ32" s="50">
        <f t="shared" si="64"/>
        <v>0</v>
      </c>
      <c r="CK32" s="50"/>
      <c r="CL32" s="50"/>
      <c r="CM32" s="50">
        <f t="shared" si="65"/>
        <v>0</v>
      </c>
      <c r="CN32" s="50"/>
      <c r="CO32" s="50"/>
      <c r="CP32" s="50">
        <f t="shared" si="71"/>
        <v>0</v>
      </c>
      <c r="CQ32" s="50"/>
      <c r="CR32" s="50"/>
      <c r="CS32" s="50">
        <f t="shared" si="68"/>
        <v>0</v>
      </c>
    </row>
    <row r="33" spans="1:97" ht="15" customHeight="1" x14ac:dyDescent="0.25">
      <c r="A33" s="51" t="s">
        <v>201</v>
      </c>
      <c r="B33" s="50"/>
      <c r="C33" s="50"/>
      <c r="D33" s="50">
        <f t="shared" si="37"/>
        <v>0</v>
      </c>
      <c r="E33" s="50"/>
      <c r="F33" s="50"/>
      <c r="G33" s="50">
        <f t="shared" si="38"/>
        <v>0</v>
      </c>
      <c r="H33" s="50"/>
      <c r="I33" s="50"/>
      <c r="J33" s="50">
        <f t="shared" si="69"/>
        <v>0</v>
      </c>
      <c r="K33" s="50"/>
      <c r="L33" s="50"/>
      <c r="M33" s="50">
        <f t="shared" si="39"/>
        <v>0</v>
      </c>
      <c r="N33" s="50"/>
      <c r="O33" s="50"/>
      <c r="P33" s="50">
        <f t="shared" si="40"/>
        <v>0</v>
      </c>
      <c r="Q33" s="50"/>
      <c r="R33" s="50"/>
      <c r="S33" s="50">
        <f t="shared" si="41"/>
        <v>0</v>
      </c>
      <c r="T33" s="50"/>
      <c r="U33" s="50"/>
      <c r="V33" s="50">
        <f t="shared" si="42"/>
        <v>0</v>
      </c>
      <c r="W33" s="50"/>
      <c r="X33" s="50"/>
      <c r="Y33" s="50">
        <f t="shared" si="43"/>
        <v>0</v>
      </c>
      <c r="Z33" s="50"/>
      <c r="AA33" s="50"/>
      <c r="AB33" s="50">
        <f t="shared" si="44"/>
        <v>0</v>
      </c>
      <c r="AC33" s="50"/>
      <c r="AD33" s="50"/>
      <c r="AE33" s="50">
        <f t="shared" si="45"/>
        <v>0</v>
      </c>
      <c r="AF33" s="50"/>
      <c r="AG33" s="50"/>
      <c r="AH33" s="50">
        <f t="shared" si="46"/>
        <v>0</v>
      </c>
      <c r="AI33" s="50"/>
      <c r="AJ33" s="50"/>
      <c r="AK33" s="50">
        <f t="shared" si="47"/>
        <v>0</v>
      </c>
      <c r="AL33" s="50"/>
      <c r="AM33" s="50"/>
      <c r="AN33" s="50">
        <f t="shared" si="48"/>
        <v>0</v>
      </c>
      <c r="AO33" s="50"/>
      <c r="AP33" s="50"/>
      <c r="AQ33" s="50">
        <f t="shared" si="49"/>
        <v>0</v>
      </c>
      <c r="AR33" s="50"/>
      <c r="AS33" s="50"/>
      <c r="AT33" s="50">
        <f t="shared" si="50"/>
        <v>0</v>
      </c>
      <c r="AU33" s="50"/>
      <c r="AV33" s="50"/>
      <c r="AW33" s="50">
        <f t="shared" si="51"/>
        <v>0</v>
      </c>
      <c r="AX33" s="50"/>
      <c r="AY33" s="50"/>
      <c r="AZ33" s="50">
        <f t="shared" si="52"/>
        <v>0</v>
      </c>
      <c r="BA33" s="50"/>
      <c r="BB33" s="50"/>
      <c r="BC33" s="50">
        <f t="shared" si="53"/>
        <v>0</v>
      </c>
      <c r="BD33" s="50"/>
      <c r="BE33" s="50"/>
      <c r="BF33" s="50">
        <f t="shared" si="54"/>
        <v>0</v>
      </c>
      <c r="BG33" s="50"/>
      <c r="BH33" s="50"/>
      <c r="BI33" s="50">
        <f t="shared" si="55"/>
        <v>0</v>
      </c>
      <c r="BJ33" s="50"/>
      <c r="BK33" s="50"/>
      <c r="BL33" s="50">
        <f t="shared" si="56"/>
        <v>0</v>
      </c>
      <c r="BM33" s="50"/>
      <c r="BN33" s="50"/>
      <c r="BO33" s="50">
        <f t="shared" si="67"/>
        <v>0</v>
      </c>
      <c r="BP33" s="50"/>
      <c r="BQ33" s="50"/>
      <c r="BR33" s="50">
        <f t="shared" si="58"/>
        <v>0</v>
      </c>
      <c r="BS33" s="50"/>
      <c r="BT33" s="50"/>
      <c r="BU33" s="50">
        <f t="shared" si="59"/>
        <v>0</v>
      </c>
      <c r="BV33" s="50"/>
      <c r="BW33" s="50"/>
      <c r="BX33" s="50">
        <f t="shared" si="60"/>
        <v>0</v>
      </c>
      <c r="BY33" s="50"/>
      <c r="BZ33" s="50"/>
      <c r="CA33" s="50">
        <f t="shared" si="70"/>
        <v>0</v>
      </c>
      <c r="CB33" s="50"/>
      <c r="CC33" s="50"/>
      <c r="CD33" s="50">
        <f t="shared" si="62"/>
        <v>0</v>
      </c>
      <c r="CE33" s="50"/>
      <c r="CF33" s="50"/>
      <c r="CG33" s="50">
        <f t="shared" si="63"/>
        <v>0</v>
      </c>
      <c r="CH33" s="50"/>
      <c r="CI33" s="50"/>
      <c r="CJ33" s="50">
        <f t="shared" si="64"/>
        <v>0</v>
      </c>
      <c r="CK33" s="50"/>
      <c r="CL33" s="50"/>
      <c r="CM33" s="50">
        <f t="shared" si="65"/>
        <v>0</v>
      </c>
      <c r="CN33" s="50"/>
      <c r="CO33" s="50"/>
      <c r="CP33" s="50">
        <f t="shared" si="71"/>
        <v>0</v>
      </c>
      <c r="CQ33" s="50"/>
      <c r="CR33" s="50"/>
      <c r="CS33" s="50">
        <f t="shared" si="68"/>
        <v>0</v>
      </c>
    </row>
    <row r="34" spans="1:97" ht="15" customHeight="1" x14ac:dyDescent="0.25">
      <c r="A34" s="51" t="s">
        <v>292</v>
      </c>
      <c r="B34" s="50"/>
      <c r="C34" s="50"/>
      <c r="D34" s="50"/>
      <c r="E34" s="50"/>
      <c r="F34" s="50"/>
      <c r="G34" s="50"/>
      <c r="H34" s="50"/>
      <c r="I34" s="50"/>
      <c r="J34" s="50">
        <v>2497029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>
        <v>34261</v>
      </c>
      <c r="Y34" s="50">
        <f t="shared" si="43"/>
        <v>34261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>
        <f t="shared" si="70"/>
        <v>0</v>
      </c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>
        <f t="shared" si="65"/>
        <v>0</v>
      </c>
      <c r="CN34" s="50"/>
      <c r="CO34" s="50"/>
      <c r="CP34" s="50">
        <f t="shared" si="71"/>
        <v>0</v>
      </c>
      <c r="CQ34" s="50"/>
      <c r="CR34" s="50"/>
      <c r="CS34" s="50">
        <f t="shared" si="68"/>
        <v>0</v>
      </c>
    </row>
    <row r="35" spans="1:97" ht="15" customHeight="1" x14ac:dyDescent="0.25">
      <c r="A35" s="51" t="s">
        <v>193</v>
      </c>
      <c r="B35" s="50"/>
      <c r="C35" s="50"/>
      <c r="D35" s="50">
        <f t="shared" si="37"/>
        <v>0</v>
      </c>
      <c r="E35" s="50"/>
      <c r="F35" s="50">
        <f>200870+50260</f>
        <v>251130</v>
      </c>
      <c r="G35" s="50">
        <f t="shared" si="38"/>
        <v>251130</v>
      </c>
      <c r="H35" s="50"/>
      <c r="I35" s="50"/>
      <c r="J35" s="50">
        <v>100000</v>
      </c>
      <c r="K35" s="50">
        <v>3885771</v>
      </c>
      <c r="L35" s="50">
        <v>6673723</v>
      </c>
      <c r="M35" s="50">
        <f t="shared" si="39"/>
        <v>10559494</v>
      </c>
      <c r="N35" s="50">
        <v>427699</v>
      </c>
      <c r="O35" s="50">
        <v>2636046</v>
      </c>
      <c r="P35" s="50">
        <f t="shared" si="40"/>
        <v>3063745</v>
      </c>
      <c r="Q35" s="50">
        <v>142437</v>
      </c>
      <c r="R35" s="50">
        <v>1209014</v>
      </c>
      <c r="S35" s="50">
        <f t="shared" si="41"/>
        <v>1351451</v>
      </c>
      <c r="T35" s="50">
        <v>541558.49</v>
      </c>
      <c r="U35" s="50">
        <v>717879.86</v>
      </c>
      <c r="V35" s="50">
        <f t="shared" si="42"/>
        <v>1259438.3500000001</v>
      </c>
      <c r="W35" s="50">
        <v>54197</v>
      </c>
      <c r="X35" s="50">
        <v>51974</v>
      </c>
      <c r="Y35" s="50">
        <f t="shared" si="43"/>
        <v>106171</v>
      </c>
      <c r="Z35" s="50">
        <v>167324</v>
      </c>
      <c r="AA35" s="50">
        <v>587484</v>
      </c>
      <c r="AB35" s="50">
        <f t="shared" si="44"/>
        <v>754808</v>
      </c>
      <c r="AC35" s="50"/>
      <c r="AD35" s="50">
        <v>4287805</v>
      </c>
      <c r="AE35" s="50">
        <f t="shared" si="45"/>
        <v>4287805</v>
      </c>
      <c r="AF35" s="50">
        <v>846436</v>
      </c>
      <c r="AG35" s="50">
        <v>3456421</v>
      </c>
      <c r="AH35" s="50">
        <f t="shared" si="46"/>
        <v>4302857</v>
      </c>
      <c r="AI35" s="50">
        <v>1606325</v>
      </c>
      <c r="AJ35" s="50">
        <v>5078022</v>
      </c>
      <c r="AK35" s="50">
        <f t="shared" si="47"/>
        <v>6684347</v>
      </c>
      <c r="AL35" s="50">
        <v>474807</v>
      </c>
      <c r="AM35" s="50">
        <v>1614020</v>
      </c>
      <c r="AN35" s="50">
        <f t="shared" si="48"/>
        <v>2088827</v>
      </c>
      <c r="AO35" s="50">
        <v>39867</v>
      </c>
      <c r="AP35" s="50">
        <v>130601</v>
      </c>
      <c r="AQ35" s="50">
        <f t="shared" si="49"/>
        <v>170468</v>
      </c>
      <c r="AR35" s="50">
        <v>340425</v>
      </c>
      <c r="AS35" s="50">
        <v>904374</v>
      </c>
      <c r="AT35" s="50">
        <f t="shared" si="50"/>
        <v>1244799</v>
      </c>
      <c r="AU35" s="50"/>
      <c r="AV35" s="50"/>
      <c r="AW35" s="50">
        <f t="shared" si="51"/>
        <v>0</v>
      </c>
      <c r="AX35" s="50">
        <v>300638</v>
      </c>
      <c r="AY35" s="50">
        <v>150146</v>
      </c>
      <c r="AZ35" s="50">
        <f t="shared" si="52"/>
        <v>450784</v>
      </c>
      <c r="BA35" s="50"/>
      <c r="BB35" s="50">
        <v>705032</v>
      </c>
      <c r="BC35" s="50">
        <f t="shared" si="53"/>
        <v>705032</v>
      </c>
      <c r="BD35" s="50">
        <v>80021.256313528633</v>
      </c>
      <c r="BE35" s="50">
        <v>3414206</v>
      </c>
      <c r="BF35" s="50">
        <f t="shared" si="54"/>
        <v>3494227.2563135289</v>
      </c>
      <c r="BG35" s="50"/>
      <c r="BH35" s="50"/>
      <c r="BI35" s="50">
        <f t="shared" si="55"/>
        <v>0</v>
      </c>
      <c r="BJ35" s="50">
        <v>37964</v>
      </c>
      <c r="BK35" s="50">
        <v>112303</v>
      </c>
      <c r="BL35" s="50">
        <f t="shared" si="56"/>
        <v>150267</v>
      </c>
      <c r="BM35" s="50">
        <v>162990</v>
      </c>
      <c r="BN35" s="50">
        <v>922905</v>
      </c>
      <c r="BO35" s="50">
        <f t="shared" si="67"/>
        <v>1085895</v>
      </c>
      <c r="BP35" s="50">
        <v>50000</v>
      </c>
      <c r="BQ35" s="50">
        <v>1346779</v>
      </c>
      <c r="BR35" s="50">
        <f t="shared" si="58"/>
        <v>1396779</v>
      </c>
      <c r="BS35" s="50">
        <v>133129</v>
      </c>
      <c r="BT35" s="50">
        <v>615596</v>
      </c>
      <c r="BU35" s="50">
        <f t="shared" si="59"/>
        <v>748725</v>
      </c>
      <c r="BV35" s="50">
        <v>307444</v>
      </c>
      <c r="BW35" s="50">
        <v>1129176</v>
      </c>
      <c r="BX35" s="50">
        <f t="shared" si="60"/>
        <v>1436620</v>
      </c>
      <c r="BY35" s="50"/>
      <c r="BZ35" s="50">
        <v>1087801</v>
      </c>
      <c r="CA35" s="50">
        <f t="shared" si="70"/>
        <v>1087801</v>
      </c>
      <c r="CB35" s="50">
        <v>376595</v>
      </c>
      <c r="CC35" s="50">
        <v>462426</v>
      </c>
      <c r="CD35" s="50">
        <f t="shared" si="62"/>
        <v>839021</v>
      </c>
      <c r="CE35" s="50">
        <v>10030</v>
      </c>
      <c r="CF35" s="50">
        <v>40089</v>
      </c>
      <c r="CG35" s="50">
        <f t="shared" si="63"/>
        <v>50119</v>
      </c>
      <c r="CH35" s="50">
        <v>2202272</v>
      </c>
      <c r="CI35" s="50">
        <v>5139092</v>
      </c>
      <c r="CJ35" s="50">
        <f t="shared" si="64"/>
        <v>7341364</v>
      </c>
      <c r="CK35" s="50">
        <v>184156</v>
      </c>
      <c r="CL35" s="50">
        <v>2820019</v>
      </c>
      <c r="CM35" s="50">
        <f t="shared" si="65"/>
        <v>3004175</v>
      </c>
      <c r="CN35" s="50"/>
      <c r="CO35" s="50"/>
      <c r="CP35" s="50">
        <v>6396684</v>
      </c>
      <c r="CQ35" s="50">
        <v>127295</v>
      </c>
      <c r="CR35" s="50">
        <v>1012318</v>
      </c>
      <c r="CS35" s="50">
        <f t="shared" si="68"/>
        <v>1139613</v>
      </c>
    </row>
    <row r="36" spans="1:97" x14ac:dyDescent="0.25">
      <c r="A36" s="51" t="s">
        <v>194</v>
      </c>
      <c r="B36" s="50">
        <v>16499</v>
      </c>
      <c r="C36" s="50">
        <v>51845</v>
      </c>
      <c r="D36" s="50">
        <f t="shared" si="37"/>
        <v>68344</v>
      </c>
      <c r="E36" s="50"/>
      <c r="F36" s="50">
        <v>99582</v>
      </c>
      <c r="G36" s="50">
        <f t="shared" si="38"/>
        <v>99582</v>
      </c>
      <c r="H36" s="50"/>
      <c r="I36" s="50"/>
      <c r="J36" s="50">
        <f t="shared" si="69"/>
        <v>0</v>
      </c>
      <c r="K36" s="50"/>
      <c r="L36" s="50"/>
      <c r="M36" s="50">
        <f t="shared" si="39"/>
        <v>0</v>
      </c>
      <c r="N36" s="50">
        <f>-48162+90751</f>
        <v>42589</v>
      </c>
      <c r="O36" s="50">
        <f>-296838+559329</f>
        <v>262491</v>
      </c>
      <c r="P36" s="50">
        <f t="shared" si="40"/>
        <v>305080</v>
      </c>
      <c r="Q36" s="50">
        <v>47052</v>
      </c>
      <c r="R36" s="50">
        <v>399383</v>
      </c>
      <c r="S36" s="50">
        <f t="shared" si="41"/>
        <v>446435</v>
      </c>
      <c r="T36" s="50">
        <v>214900.04</v>
      </c>
      <c r="U36" s="50">
        <v>284867.5</v>
      </c>
      <c r="V36" s="50">
        <f t="shared" si="42"/>
        <v>499767.54000000004</v>
      </c>
      <c r="W36" s="50">
        <v>46504</v>
      </c>
      <c r="X36" s="50">
        <v>15859</v>
      </c>
      <c r="Y36" s="50">
        <f t="shared" si="43"/>
        <v>62363</v>
      </c>
      <c r="Z36" s="50">
        <f>-2217+91846</f>
        <v>89629</v>
      </c>
      <c r="AA36" s="50">
        <f>-7783+322476</f>
        <v>314693</v>
      </c>
      <c r="AB36" s="50">
        <f t="shared" si="44"/>
        <v>404322</v>
      </c>
      <c r="AC36" s="50"/>
      <c r="AD36" s="50"/>
      <c r="AE36" s="50">
        <f t="shared" si="45"/>
        <v>0</v>
      </c>
      <c r="AF36" s="50"/>
      <c r="AG36" s="50"/>
      <c r="AH36" s="50">
        <f t="shared" si="46"/>
        <v>0</v>
      </c>
      <c r="AI36" s="50"/>
      <c r="AJ36" s="50"/>
      <c r="AK36" s="50">
        <f t="shared" si="47"/>
        <v>0</v>
      </c>
      <c r="AL36" s="50">
        <f>261404-113654</f>
        <v>147750</v>
      </c>
      <c r="AM36" s="50">
        <f>888597-386346</f>
        <v>502251</v>
      </c>
      <c r="AN36" s="50">
        <f t="shared" si="48"/>
        <v>650001</v>
      </c>
      <c r="AO36" s="50"/>
      <c r="AP36" s="50"/>
      <c r="AQ36" s="50">
        <f t="shared" si="49"/>
        <v>0</v>
      </c>
      <c r="AR36" s="50"/>
      <c r="AS36" s="50"/>
      <c r="AT36" s="50">
        <f t="shared" si="50"/>
        <v>0</v>
      </c>
      <c r="AU36" s="50">
        <v>22634</v>
      </c>
      <c r="AV36" s="50">
        <v>151241</v>
      </c>
      <c r="AW36" s="50">
        <f t="shared" si="51"/>
        <v>173875</v>
      </c>
      <c r="AX36" s="50">
        <v>959</v>
      </c>
      <c r="AY36" s="50">
        <v>40934</v>
      </c>
      <c r="AZ36" s="50">
        <f t="shared" si="52"/>
        <v>41893</v>
      </c>
      <c r="BA36" s="50">
        <v>49968</v>
      </c>
      <c r="BB36" s="50"/>
      <c r="BC36" s="50">
        <f t="shared" si="53"/>
        <v>49968</v>
      </c>
      <c r="BD36" s="50"/>
      <c r="BE36" s="50"/>
      <c r="BF36" s="50">
        <f t="shared" si="54"/>
        <v>0</v>
      </c>
      <c r="BG36" s="50"/>
      <c r="BH36" s="50">
        <v>14879</v>
      </c>
      <c r="BI36" s="50">
        <f t="shared" si="55"/>
        <v>14879</v>
      </c>
      <c r="BJ36" s="50"/>
      <c r="BK36" s="50"/>
      <c r="BL36" s="50">
        <f t="shared" si="56"/>
        <v>0</v>
      </c>
      <c r="BM36" s="50">
        <f>-48398+444378</f>
        <v>395980</v>
      </c>
      <c r="BN36" s="50">
        <f>2516237-274044</f>
        <v>2242193</v>
      </c>
      <c r="BO36" s="50">
        <f t="shared" si="67"/>
        <v>2638173</v>
      </c>
      <c r="BP36" s="50"/>
      <c r="BQ36" s="50"/>
      <c r="BR36" s="50">
        <f t="shared" si="58"/>
        <v>0</v>
      </c>
      <c r="BS36" s="50">
        <v>76011</v>
      </c>
      <c r="BT36" s="50">
        <v>351481</v>
      </c>
      <c r="BU36" s="50">
        <f t="shared" si="59"/>
        <v>427492</v>
      </c>
      <c r="BV36" s="50"/>
      <c r="BW36" s="50"/>
      <c r="BX36" s="50">
        <f t="shared" si="60"/>
        <v>0</v>
      </c>
      <c r="BY36" s="50"/>
      <c r="BZ36" s="50"/>
      <c r="CA36" s="50">
        <v>0</v>
      </c>
      <c r="CB36" s="50"/>
      <c r="CC36" s="50"/>
      <c r="CD36" s="50">
        <f t="shared" si="62"/>
        <v>0</v>
      </c>
      <c r="CE36" s="50">
        <v>814766</v>
      </c>
      <c r="CF36" s="50">
        <v>3256397</v>
      </c>
      <c r="CG36" s="50">
        <f t="shared" si="63"/>
        <v>4071163</v>
      </c>
      <c r="CH36" s="50">
        <v>3733</v>
      </c>
      <c r="CI36" s="50">
        <v>8712</v>
      </c>
      <c r="CJ36" s="50">
        <f t="shared" si="64"/>
        <v>12445</v>
      </c>
      <c r="CK36" s="50"/>
      <c r="CL36" s="50"/>
      <c r="CM36" s="50">
        <f t="shared" si="65"/>
        <v>0</v>
      </c>
      <c r="CN36" s="50"/>
      <c r="CO36" s="50"/>
      <c r="CP36" s="50">
        <v>1070262</v>
      </c>
      <c r="CQ36" s="50">
        <f>809+2380</f>
        <v>3189</v>
      </c>
      <c r="CR36" s="50">
        <f>1+18928+6435</f>
        <v>25364</v>
      </c>
      <c r="CS36" s="50">
        <f t="shared" si="68"/>
        <v>28553</v>
      </c>
    </row>
    <row r="37" spans="1:97" s="53" customFormat="1" x14ac:dyDescent="0.25">
      <c r="A37" s="49" t="s">
        <v>197</v>
      </c>
      <c r="B37" s="52">
        <f>SUM(B22:B36)</f>
        <v>152134</v>
      </c>
      <c r="C37" s="52">
        <f t="shared" ref="C37:BK37" si="72">SUM(C22:C36)</f>
        <v>478014</v>
      </c>
      <c r="D37" s="52">
        <f t="shared" si="72"/>
        <v>630148</v>
      </c>
      <c r="E37" s="52">
        <f t="shared" si="72"/>
        <v>245460</v>
      </c>
      <c r="F37" s="52">
        <f t="shared" si="72"/>
        <v>2045015</v>
      </c>
      <c r="G37" s="52">
        <f t="shared" si="72"/>
        <v>2290475</v>
      </c>
      <c r="H37" s="52">
        <f t="shared" si="72"/>
        <v>0</v>
      </c>
      <c r="I37" s="52">
        <f t="shared" si="72"/>
        <v>0</v>
      </c>
      <c r="J37" s="52">
        <f t="shared" si="72"/>
        <v>17647560</v>
      </c>
      <c r="K37" s="52">
        <f t="shared" si="72"/>
        <v>6664117</v>
      </c>
      <c r="L37" s="52">
        <f t="shared" si="72"/>
        <v>12434648</v>
      </c>
      <c r="M37" s="52">
        <f t="shared" si="72"/>
        <v>19098765</v>
      </c>
      <c r="N37" s="52">
        <f t="shared" si="72"/>
        <v>1294803</v>
      </c>
      <c r="O37" s="52">
        <f t="shared" si="72"/>
        <v>7980292</v>
      </c>
      <c r="P37" s="52">
        <f t="shared" si="72"/>
        <v>9275095</v>
      </c>
      <c r="Q37" s="52">
        <f t="shared" si="72"/>
        <v>1360114</v>
      </c>
      <c r="R37" s="52">
        <f t="shared" si="72"/>
        <v>11544735</v>
      </c>
      <c r="S37" s="52">
        <f t="shared" si="72"/>
        <v>12904849</v>
      </c>
      <c r="T37" s="52">
        <f t="shared" si="72"/>
        <v>4728336.42</v>
      </c>
      <c r="U37" s="52">
        <f t="shared" si="72"/>
        <v>6267794.8100000005</v>
      </c>
      <c r="V37" s="52">
        <f t="shared" si="72"/>
        <v>10996131.23</v>
      </c>
      <c r="W37" s="52">
        <f t="shared" si="72"/>
        <v>283663</v>
      </c>
      <c r="X37" s="52">
        <f t="shared" si="72"/>
        <v>905999</v>
      </c>
      <c r="Y37" s="52">
        <f t="shared" si="72"/>
        <v>1189662</v>
      </c>
      <c r="Z37" s="52">
        <f t="shared" si="72"/>
        <v>1087938</v>
      </c>
      <c r="AA37" s="52">
        <f t="shared" si="72"/>
        <v>3819817</v>
      </c>
      <c r="AB37" s="52">
        <f t="shared" si="72"/>
        <v>4907755</v>
      </c>
      <c r="AC37" s="52">
        <f t="shared" si="72"/>
        <v>0</v>
      </c>
      <c r="AD37" s="52">
        <f t="shared" si="72"/>
        <v>6410149</v>
      </c>
      <c r="AE37" s="52">
        <f t="shared" si="72"/>
        <v>6410149</v>
      </c>
      <c r="AF37" s="52">
        <f t="shared" si="72"/>
        <v>4736214</v>
      </c>
      <c r="AG37" s="52">
        <f t="shared" si="72"/>
        <v>19340311</v>
      </c>
      <c r="AH37" s="52">
        <f t="shared" si="72"/>
        <v>24076525</v>
      </c>
      <c r="AI37" s="52">
        <f t="shared" si="72"/>
        <v>8158361</v>
      </c>
      <c r="AJ37" s="52">
        <f t="shared" si="72"/>
        <v>24967315</v>
      </c>
      <c r="AK37" s="52">
        <f t="shared" si="72"/>
        <v>33125676</v>
      </c>
      <c r="AL37" s="52">
        <f t="shared" si="72"/>
        <v>4643666</v>
      </c>
      <c r="AM37" s="52">
        <f t="shared" si="72"/>
        <v>15785303</v>
      </c>
      <c r="AN37" s="52">
        <f t="shared" si="72"/>
        <v>20428969</v>
      </c>
      <c r="AO37" s="52">
        <f t="shared" si="72"/>
        <v>226881</v>
      </c>
      <c r="AP37" s="52">
        <f t="shared" si="72"/>
        <v>743238</v>
      </c>
      <c r="AQ37" s="52">
        <f t="shared" si="72"/>
        <v>970119</v>
      </c>
      <c r="AR37" s="52">
        <f t="shared" si="72"/>
        <v>947545</v>
      </c>
      <c r="AS37" s="52">
        <f t="shared" si="72"/>
        <v>2479032</v>
      </c>
      <c r="AT37" s="52">
        <f t="shared" si="72"/>
        <v>3426577</v>
      </c>
      <c r="AU37" s="52">
        <f t="shared" si="72"/>
        <v>322807</v>
      </c>
      <c r="AV37" s="52">
        <f t="shared" si="72"/>
        <v>2157037</v>
      </c>
      <c r="AW37" s="52">
        <f t="shared" si="72"/>
        <v>2479844</v>
      </c>
      <c r="AX37" s="52">
        <f t="shared" si="72"/>
        <v>713903</v>
      </c>
      <c r="AY37" s="52">
        <f t="shared" si="72"/>
        <v>783167</v>
      </c>
      <c r="AZ37" s="52">
        <f t="shared" si="72"/>
        <v>1497070</v>
      </c>
      <c r="BA37" s="52">
        <f t="shared" si="72"/>
        <v>674604</v>
      </c>
      <c r="BB37" s="52">
        <f t="shared" si="72"/>
        <v>3976160</v>
      </c>
      <c r="BC37" s="52">
        <f t="shared" si="72"/>
        <v>4650764</v>
      </c>
      <c r="BD37" s="52">
        <f t="shared" si="72"/>
        <v>799403.25631352863</v>
      </c>
      <c r="BE37" s="52">
        <f t="shared" si="72"/>
        <v>34107491</v>
      </c>
      <c r="BF37" s="52">
        <f t="shared" si="72"/>
        <v>34906894.256313533</v>
      </c>
      <c r="BG37" s="52">
        <f t="shared" si="72"/>
        <v>219817</v>
      </c>
      <c r="BH37" s="52">
        <f t="shared" si="72"/>
        <v>365499</v>
      </c>
      <c r="BI37" s="52">
        <f t="shared" si="72"/>
        <v>585316</v>
      </c>
      <c r="BJ37" s="52">
        <f t="shared" si="72"/>
        <v>343299</v>
      </c>
      <c r="BK37" s="52">
        <f t="shared" si="72"/>
        <v>1015529</v>
      </c>
      <c r="BL37" s="52">
        <f t="shared" ref="BL37:CP37" si="73">SUM(BL22:BL36)</f>
        <v>1358828</v>
      </c>
      <c r="BM37" s="52">
        <f t="shared" si="73"/>
        <v>2485591</v>
      </c>
      <c r="BN37" s="52">
        <f t="shared" si="73"/>
        <v>14074268</v>
      </c>
      <c r="BO37" s="52">
        <f t="shared" si="73"/>
        <v>16559859</v>
      </c>
      <c r="BP37" s="52">
        <f t="shared" si="73"/>
        <v>499980</v>
      </c>
      <c r="BQ37" s="52">
        <f t="shared" si="73"/>
        <v>2926702</v>
      </c>
      <c r="BR37" s="52">
        <f t="shared" si="73"/>
        <v>3426682</v>
      </c>
      <c r="BS37" s="52">
        <f t="shared" si="73"/>
        <v>1984448</v>
      </c>
      <c r="BT37" s="52">
        <f t="shared" si="73"/>
        <v>9176184</v>
      </c>
      <c r="BU37" s="52">
        <f t="shared" si="73"/>
        <v>11160632</v>
      </c>
      <c r="BV37" s="52">
        <f t="shared" ref="BV37:BX37" si="74">SUM(BV22:BV36)</f>
        <v>1524727</v>
      </c>
      <c r="BW37" s="52">
        <f t="shared" si="74"/>
        <v>5770085</v>
      </c>
      <c r="BX37" s="52">
        <f t="shared" si="74"/>
        <v>7294812</v>
      </c>
      <c r="BY37" s="52">
        <f t="shared" si="73"/>
        <v>792025</v>
      </c>
      <c r="BZ37" s="52">
        <f t="shared" si="73"/>
        <v>4501893</v>
      </c>
      <c r="CA37" s="52">
        <f t="shared" si="73"/>
        <v>5293918</v>
      </c>
      <c r="CB37" s="52">
        <f t="shared" si="73"/>
        <v>3274798</v>
      </c>
      <c r="CC37" s="52">
        <f t="shared" si="73"/>
        <v>4021170</v>
      </c>
      <c r="CD37" s="52">
        <f t="shared" si="73"/>
        <v>7295968</v>
      </c>
      <c r="CE37" s="52">
        <f t="shared" si="73"/>
        <v>1829302</v>
      </c>
      <c r="CF37" s="52">
        <f t="shared" si="73"/>
        <v>7311219</v>
      </c>
      <c r="CG37" s="52">
        <f t="shared" si="73"/>
        <v>9140521</v>
      </c>
      <c r="CH37" s="52">
        <f t="shared" si="73"/>
        <v>7524689</v>
      </c>
      <c r="CI37" s="52">
        <f t="shared" si="73"/>
        <v>17559170</v>
      </c>
      <c r="CJ37" s="52">
        <f t="shared" si="73"/>
        <v>25083859</v>
      </c>
      <c r="CK37" s="52">
        <f t="shared" si="73"/>
        <v>1148854</v>
      </c>
      <c r="CL37" s="52">
        <f t="shared" si="73"/>
        <v>17592719</v>
      </c>
      <c r="CM37" s="52">
        <f t="shared" si="73"/>
        <v>18741573</v>
      </c>
      <c r="CN37" s="52">
        <f t="shared" si="73"/>
        <v>0</v>
      </c>
      <c r="CO37" s="52">
        <f t="shared" si="73"/>
        <v>0</v>
      </c>
      <c r="CP37" s="52">
        <f t="shared" si="73"/>
        <v>29737128</v>
      </c>
      <c r="CQ37" s="52">
        <f t="shared" ref="CQ37:CS37" si="75">SUM(CQ22:CQ36)</f>
        <v>633889</v>
      </c>
      <c r="CR37" s="52">
        <f t="shared" si="75"/>
        <v>5041013</v>
      </c>
      <c r="CS37" s="52">
        <f t="shared" si="75"/>
        <v>5674902</v>
      </c>
    </row>
    <row r="38" spans="1:97" s="53" customFormat="1" x14ac:dyDescent="0.25">
      <c r="A38" s="49" t="s">
        <v>42</v>
      </c>
      <c r="B38" s="52">
        <f>B37+B20</f>
        <v>1038070</v>
      </c>
      <c r="C38" s="52">
        <f t="shared" ref="C38:BK38" si="76">C37+C20</f>
        <v>3261650</v>
      </c>
      <c r="D38" s="52">
        <f t="shared" si="76"/>
        <v>4299720</v>
      </c>
      <c r="E38" s="52">
        <f t="shared" si="76"/>
        <v>3205416</v>
      </c>
      <c r="F38" s="52">
        <f t="shared" si="76"/>
        <v>8702251</v>
      </c>
      <c r="G38" s="52">
        <f t="shared" si="76"/>
        <v>11907667</v>
      </c>
      <c r="H38" s="52">
        <f t="shared" si="76"/>
        <v>0</v>
      </c>
      <c r="I38" s="52">
        <f t="shared" si="76"/>
        <v>0</v>
      </c>
      <c r="J38" s="52">
        <f t="shared" si="76"/>
        <v>68737656</v>
      </c>
      <c r="K38" s="52">
        <f t="shared" si="76"/>
        <v>50678508</v>
      </c>
      <c r="L38" s="52">
        <f t="shared" si="76"/>
        <v>163265799</v>
      </c>
      <c r="M38" s="52">
        <f t="shared" si="76"/>
        <v>213944307</v>
      </c>
      <c r="N38" s="52">
        <f t="shared" si="76"/>
        <v>7647807</v>
      </c>
      <c r="O38" s="52">
        <f t="shared" si="76"/>
        <v>47135914</v>
      </c>
      <c r="P38" s="52">
        <f t="shared" si="76"/>
        <v>54783721</v>
      </c>
      <c r="Q38" s="52">
        <f t="shared" si="76"/>
        <v>11058837</v>
      </c>
      <c r="R38" s="52">
        <f t="shared" si="76"/>
        <v>93868113</v>
      </c>
      <c r="S38" s="52">
        <f t="shared" si="76"/>
        <v>104926950</v>
      </c>
      <c r="T38" s="52">
        <f t="shared" si="76"/>
        <v>51212559.810000002</v>
      </c>
      <c r="U38" s="52">
        <f t="shared" si="76"/>
        <v>67886416.510000005</v>
      </c>
      <c r="V38" s="52">
        <f t="shared" si="76"/>
        <v>119098976.31999999</v>
      </c>
      <c r="W38" s="52">
        <f t="shared" si="76"/>
        <v>849830</v>
      </c>
      <c r="X38" s="52">
        <f t="shared" si="76"/>
        <v>2626981</v>
      </c>
      <c r="Y38" s="52">
        <f t="shared" si="76"/>
        <v>3476811</v>
      </c>
      <c r="Z38" s="52">
        <f t="shared" si="76"/>
        <v>11170772</v>
      </c>
      <c r="AA38" s="52">
        <f t="shared" si="76"/>
        <v>39221292</v>
      </c>
      <c r="AB38" s="52">
        <f t="shared" si="76"/>
        <v>50392064</v>
      </c>
      <c r="AC38" s="52">
        <f t="shared" si="76"/>
        <v>0</v>
      </c>
      <c r="AD38" s="52">
        <f t="shared" si="76"/>
        <v>37078813</v>
      </c>
      <c r="AE38" s="52">
        <f t="shared" si="76"/>
        <v>37078813</v>
      </c>
      <c r="AF38" s="52">
        <f t="shared" si="76"/>
        <v>30991969</v>
      </c>
      <c r="AG38" s="52">
        <f t="shared" si="76"/>
        <v>126555556</v>
      </c>
      <c r="AH38" s="52">
        <f t="shared" si="76"/>
        <v>157547525</v>
      </c>
      <c r="AI38" s="52">
        <f t="shared" si="76"/>
        <v>72204646</v>
      </c>
      <c r="AJ38" s="52">
        <f t="shared" si="76"/>
        <v>226715577</v>
      </c>
      <c r="AK38" s="52">
        <f t="shared" si="76"/>
        <v>298920223</v>
      </c>
      <c r="AL38" s="52">
        <f t="shared" si="76"/>
        <v>25221633</v>
      </c>
      <c r="AM38" s="52">
        <f t="shared" si="76"/>
        <v>85736359</v>
      </c>
      <c r="AN38" s="52">
        <f t="shared" si="76"/>
        <v>110957992</v>
      </c>
      <c r="AO38" s="52">
        <f t="shared" si="76"/>
        <v>1979728</v>
      </c>
      <c r="AP38" s="52">
        <f t="shared" si="76"/>
        <v>6756968</v>
      </c>
      <c r="AQ38" s="52">
        <f t="shared" si="76"/>
        <v>8736696</v>
      </c>
      <c r="AR38" s="52">
        <f t="shared" si="76"/>
        <v>8262160</v>
      </c>
      <c r="AS38" s="52">
        <f t="shared" si="76"/>
        <v>21911075</v>
      </c>
      <c r="AT38" s="52">
        <f t="shared" si="76"/>
        <v>30173235</v>
      </c>
      <c r="AU38" s="52">
        <f t="shared" si="76"/>
        <v>3749843</v>
      </c>
      <c r="AV38" s="52">
        <f t="shared" si="76"/>
        <v>25056915</v>
      </c>
      <c r="AW38" s="52">
        <f t="shared" si="76"/>
        <v>28806758</v>
      </c>
      <c r="AX38" s="52">
        <f t="shared" si="76"/>
        <v>2999034</v>
      </c>
      <c r="AY38" s="52">
        <f t="shared" si="76"/>
        <v>3780784</v>
      </c>
      <c r="AZ38" s="52" t="e">
        <f t="shared" si="76"/>
        <v>#VALUE!</v>
      </c>
      <c r="BA38" s="52">
        <f t="shared" si="76"/>
        <v>4485290</v>
      </c>
      <c r="BB38" s="52">
        <f t="shared" si="76"/>
        <v>9366410</v>
      </c>
      <c r="BC38" s="52">
        <f t="shared" si="76"/>
        <v>13851700</v>
      </c>
      <c r="BD38" s="52">
        <f t="shared" si="76"/>
        <v>6750974.7465744503</v>
      </c>
      <c r="BE38" s="52">
        <f t="shared" si="76"/>
        <v>288038632</v>
      </c>
      <c r="BF38" s="52">
        <f t="shared" si="76"/>
        <v>294789606.74657452</v>
      </c>
      <c r="BG38" s="52">
        <f t="shared" si="76"/>
        <v>2081264</v>
      </c>
      <c r="BH38" s="52">
        <f t="shared" si="76"/>
        <v>3044011</v>
      </c>
      <c r="BI38" s="52">
        <f t="shared" si="76"/>
        <v>5125275</v>
      </c>
      <c r="BJ38" s="52">
        <f t="shared" si="76"/>
        <v>1491449</v>
      </c>
      <c r="BK38" s="52">
        <f t="shared" si="76"/>
        <v>4411939</v>
      </c>
      <c r="BL38" s="52">
        <f t="shared" ref="BL38:CP38" si="77">BL37+BL20</f>
        <v>5903388</v>
      </c>
      <c r="BM38" s="52">
        <f t="shared" si="77"/>
        <v>18590522</v>
      </c>
      <c r="BN38" s="52">
        <f t="shared" si="77"/>
        <v>105265756</v>
      </c>
      <c r="BO38" s="52">
        <f t="shared" si="77"/>
        <v>123856278</v>
      </c>
      <c r="BP38" s="52">
        <f t="shared" si="77"/>
        <v>9101650</v>
      </c>
      <c r="BQ38" s="52">
        <f t="shared" si="77"/>
        <v>15907007</v>
      </c>
      <c r="BR38" s="52">
        <f t="shared" si="77"/>
        <v>25008657</v>
      </c>
      <c r="BS38" s="52">
        <f t="shared" si="77"/>
        <v>11333047</v>
      </c>
      <c r="BT38" s="52">
        <f t="shared" si="77"/>
        <v>52404547</v>
      </c>
      <c r="BU38" s="52">
        <f t="shared" si="77"/>
        <v>63737594</v>
      </c>
      <c r="BV38" s="52">
        <f t="shared" ref="BV38:BX38" si="78">BV37+BV20</f>
        <v>28274850</v>
      </c>
      <c r="BW38" s="52">
        <f t="shared" si="78"/>
        <v>60503030</v>
      </c>
      <c r="BX38" s="52">
        <f t="shared" si="78"/>
        <v>88777880</v>
      </c>
      <c r="BY38" s="52">
        <f t="shared" si="77"/>
        <v>17058345</v>
      </c>
      <c r="BZ38" s="52">
        <f t="shared" si="77"/>
        <v>86071694</v>
      </c>
      <c r="CA38" s="52">
        <f t="shared" si="77"/>
        <v>103130039</v>
      </c>
      <c r="CB38" s="52">
        <f t="shared" si="77"/>
        <v>27510256</v>
      </c>
      <c r="CC38" s="52">
        <f t="shared" si="77"/>
        <v>33780231</v>
      </c>
      <c r="CD38" s="52">
        <f t="shared" si="77"/>
        <v>61290487</v>
      </c>
      <c r="CE38" s="52">
        <f t="shared" si="77"/>
        <v>31144582</v>
      </c>
      <c r="CF38" s="52">
        <f t="shared" si="77"/>
        <v>124476329</v>
      </c>
      <c r="CG38" s="52">
        <f t="shared" si="77"/>
        <v>155620911</v>
      </c>
      <c r="CH38" s="52">
        <f t="shared" si="77"/>
        <v>198609265</v>
      </c>
      <c r="CI38" s="52">
        <f t="shared" si="77"/>
        <v>443349491</v>
      </c>
      <c r="CJ38" s="52">
        <f t="shared" si="77"/>
        <v>641958756</v>
      </c>
      <c r="CK38" s="52">
        <f t="shared" si="77"/>
        <v>14476978</v>
      </c>
      <c r="CL38" s="52">
        <f t="shared" si="77"/>
        <v>221689096</v>
      </c>
      <c r="CM38" s="52">
        <f t="shared" si="77"/>
        <v>236166074</v>
      </c>
      <c r="CN38" s="52">
        <f t="shared" si="77"/>
        <v>0</v>
      </c>
      <c r="CO38" s="52">
        <f t="shared" si="77"/>
        <v>0</v>
      </c>
      <c r="CP38" s="52">
        <f t="shared" si="77"/>
        <v>326192755</v>
      </c>
      <c r="CQ38" s="52">
        <f t="shared" ref="CQ38:CS38" si="79">CQ37+CQ20</f>
        <v>3725060</v>
      </c>
      <c r="CR38" s="52">
        <f t="shared" si="79"/>
        <v>29623581</v>
      </c>
      <c r="CS38" s="52">
        <f t="shared" si="79"/>
        <v>33348641</v>
      </c>
    </row>
  </sheetData>
  <mergeCells count="33">
    <mergeCell ref="A3:A4"/>
    <mergeCell ref="CQ3:CS3"/>
    <mergeCell ref="CH3:CJ3"/>
    <mergeCell ref="CK3:CM3"/>
    <mergeCell ref="BY3:CA3"/>
    <mergeCell ref="CB3:CD3"/>
    <mergeCell ref="CE3:CG3"/>
    <mergeCell ref="CN3:CP3"/>
    <mergeCell ref="BV3:BX3"/>
    <mergeCell ref="N3:P3"/>
    <mergeCell ref="AX3:AZ3"/>
    <mergeCell ref="Q3:S3"/>
    <mergeCell ref="W3:Y3"/>
    <mergeCell ref="AC3:AE3"/>
    <mergeCell ref="B3:D3"/>
    <mergeCell ref="E3:G3"/>
    <mergeCell ref="H3:J3"/>
    <mergeCell ref="K3:M3"/>
    <mergeCell ref="T3:V3"/>
    <mergeCell ref="AR3:AT3"/>
    <mergeCell ref="AU3:AW3"/>
    <mergeCell ref="AF3:AH3"/>
    <mergeCell ref="Z3:AB3"/>
    <mergeCell ref="AI3:AK3"/>
    <mergeCell ref="AL3:AN3"/>
    <mergeCell ref="AO3:AQ3"/>
    <mergeCell ref="BA3:BC3"/>
    <mergeCell ref="BD3:BF3"/>
    <mergeCell ref="BS3:BU3"/>
    <mergeCell ref="BG3:BI3"/>
    <mergeCell ref="BJ3:BL3"/>
    <mergeCell ref="BM3:BO3"/>
    <mergeCell ref="BP3:BR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2021-04-12T06:03:21Z</dcterms:modified>
</cp:coreProperties>
</file>